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0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Лист1!$A$7:$H$878</definedName>
    <definedName name="_xlnm.Print_Titles" localSheetId="0">Лист1!$7:$7</definedName>
  </definedNames>
  <calcPr calcId="145621"/>
</workbook>
</file>

<file path=xl/calcChain.xml><?xml version="1.0" encoding="utf-8"?>
<calcChain xmlns="http://schemas.openxmlformats.org/spreadsheetml/2006/main">
  <c r="H712" i="1" l="1"/>
  <c r="H780" i="1"/>
  <c r="H774" i="1"/>
  <c r="H713" i="1"/>
  <c r="H694" i="1"/>
  <c r="H861" i="1"/>
  <c r="H828" i="1"/>
  <c r="H799" i="1"/>
  <c r="H797" i="1"/>
  <c r="H684" i="1"/>
  <c r="H682" i="1"/>
  <c r="H714" i="1"/>
  <c r="H715" i="1"/>
  <c r="H718" i="1"/>
  <c r="H731" i="1"/>
  <c r="H738" i="1"/>
  <c r="H740" i="1"/>
  <c r="H761" i="1"/>
  <c r="H762" i="1"/>
  <c r="H763" i="1"/>
  <c r="H764" i="1"/>
  <c r="H765" i="1"/>
  <c r="H770" i="1"/>
  <c r="H783" i="1"/>
  <c r="H798" i="1"/>
  <c r="H825" i="1"/>
  <c r="H830" i="1"/>
  <c r="H831" i="1"/>
  <c r="H836" i="1"/>
  <c r="H844" i="1"/>
  <c r="H852" i="1"/>
  <c r="H863" i="1"/>
  <c r="H866" i="1"/>
  <c r="H862" i="1"/>
  <c r="H859" i="1"/>
  <c r="H858" i="1"/>
  <c r="H856" i="1"/>
  <c r="H855" i="1"/>
  <c r="H854" i="1"/>
  <c r="H851" i="1"/>
  <c r="H842" i="1"/>
  <c r="H841" i="1"/>
  <c r="H833" i="1"/>
  <c r="H832" i="1"/>
  <c r="H829" i="1"/>
  <c r="H824" i="1"/>
  <c r="H819" i="1"/>
  <c r="H813" i="1"/>
  <c r="H810" i="1"/>
  <c r="H801" i="1"/>
  <c r="H800" i="1"/>
  <c r="H795" i="1"/>
  <c r="H786" i="1"/>
  <c r="H784" i="1"/>
  <c r="H782" i="1"/>
  <c r="H779" i="1"/>
  <c r="H776" i="1"/>
  <c r="H771" i="1"/>
  <c r="H769" i="1"/>
  <c r="H757" i="1"/>
  <c r="H753" i="1"/>
  <c r="H752" i="1"/>
  <c r="H749" i="1"/>
  <c r="H743" i="1"/>
  <c r="H742" i="1"/>
  <c r="H741" i="1"/>
  <c r="H716" i="1"/>
  <c r="H683" i="1"/>
  <c r="H848" i="1"/>
  <c r="H846" i="1"/>
  <c r="H845" i="1"/>
  <c r="H843" i="1"/>
  <c r="H835" i="1"/>
  <c r="H820" i="1"/>
  <c r="H815" i="1"/>
  <c r="H808" i="1"/>
  <c r="H805" i="1"/>
  <c r="H804" i="1"/>
  <c r="H803" i="1"/>
  <c r="H802" i="1"/>
  <c r="H796" i="1"/>
  <c r="H778" i="1"/>
  <c r="H775" i="1"/>
  <c r="H768" i="1"/>
  <c r="H756" i="1"/>
  <c r="H755" i="1"/>
  <c r="H735" i="1"/>
  <c r="H734" i="1"/>
  <c r="H730" i="1"/>
  <c r="H729" i="1"/>
  <c r="H726" i="1"/>
  <c r="H725" i="1"/>
  <c r="H719" i="1"/>
  <c r="H711" i="1"/>
  <c r="H706" i="1"/>
  <c r="H704" i="1"/>
  <c r="H699" i="1"/>
  <c r="H698" i="1"/>
  <c r="H697" i="1"/>
  <c r="H693" i="1"/>
  <c r="H691" i="1"/>
  <c r="H690" i="1"/>
  <c r="H686" i="1"/>
  <c r="H678" i="1"/>
  <c r="H677" i="1"/>
  <c r="H675" i="1"/>
  <c r="H671" i="1"/>
  <c r="H667" i="1"/>
  <c r="H668" i="1"/>
  <c r="H666" i="1"/>
  <c r="H660" i="1"/>
  <c r="H659" i="1"/>
  <c r="H655" i="1"/>
  <c r="H643" i="1"/>
  <c r="H642" i="1"/>
  <c r="H641" i="1"/>
  <c r="H640" i="1"/>
  <c r="H639" i="1"/>
  <c r="H638" i="1"/>
  <c r="H637" i="1"/>
  <c r="H636" i="1"/>
  <c r="H635" i="1"/>
  <c r="H630" i="1"/>
  <c r="H629" i="1"/>
  <c r="H622" i="1"/>
  <c r="H621" i="1"/>
  <c r="H620" i="1"/>
  <c r="H616" i="1"/>
  <c r="H617" i="1"/>
  <c r="H615" i="1"/>
  <c r="H613" i="1"/>
  <c r="H612" i="1"/>
  <c r="H611" i="1"/>
  <c r="H610" i="1"/>
  <c r="H609" i="1"/>
  <c r="H608" i="1"/>
  <c r="H607" i="1"/>
  <c r="H606" i="1"/>
  <c r="H605" i="1"/>
  <c r="H604" i="1"/>
  <c r="H600" i="1"/>
  <c r="H599" i="1"/>
  <c r="H598" i="1"/>
  <c r="H597" i="1"/>
  <c r="H594" i="1"/>
  <c r="H593" i="1"/>
  <c r="H588" i="1"/>
  <c r="H586" i="1"/>
  <c r="D876" i="1" l="1"/>
  <c r="D873" i="1"/>
  <c r="D870" i="1"/>
  <c r="D867" i="1"/>
  <c r="D864" i="1"/>
  <c r="D837" i="1"/>
  <c r="D821" i="1"/>
  <c r="H754" i="1"/>
  <c r="D707" i="1"/>
  <c r="D701" i="1"/>
  <c r="H679" i="1"/>
  <c r="H685" i="1"/>
  <c r="H687" i="1"/>
  <c r="H688" i="1"/>
  <c r="H689" i="1"/>
  <c r="H692" i="1"/>
  <c r="H695" i="1"/>
  <c r="H696" i="1"/>
  <c r="H700" i="1"/>
  <c r="H703" i="1"/>
  <c r="H705" i="1"/>
  <c r="H709" i="1"/>
  <c r="H710" i="1"/>
  <c r="H717" i="1"/>
  <c r="H720" i="1"/>
  <c r="H721" i="1"/>
  <c r="H722" i="1"/>
  <c r="H736" i="1"/>
  <c r="H737" i="1"/>
  <c r="H739" i="1"/>
  <c r="H748" i="1"/>
  <c r="H750" i="1"/>
  <c r="H751" i="1"/>
  <c r="H758" i="1"/>
  <c r="H759" i="1"/>
  <c r="H760" i="1"/>
  <c r="H766" i="1"/>
  <c r="H767" i="1"/>
  <c r="H772" i="1"/>
  <c r="H773" i="1"/>
  <c r="H777" i="1"/>
  <c r="H781" i="1"/>
  <c r="H785" i="1"/>
  <c r="H789" i="1"/>
  <c r="H807" i="1"/>
  <c r="H809" i="1"/>
  <c r="H811" i="1"/>
  <c r="H812" i="1"/>
  <c r="H814" i="1"/>
  <c r="H816" i="1"/>
  <c r="H817" i="1"/>
  <c r="H818" i="1"/>
  <c r="H826" i="1"/>
  <c r="H827" i="1"/>
  <c r="H834" i="1"/>
  <c r="H847" i="1"/>
  <c r="H849" i="1"/>
  <c r="H850" i="1"/>
  <c r="H853" i="1"/>
  <c r="H857" i="1"/>
  <c r="H860" i="1"/>
  <c r="H878" i="1"/>
  <c r="D680" i="1"/>
  <c r="D674" i="1"/>
  <c r="D656" i="1"/>
  <c r="H650" i="1"/>
  <c r="D653" i="1"/>
  <c r="D652" i="1"/>
  <c r="D651" i="1"/>
  <c r="D650" i="1"/>
  <c r="D649" i="1"/>
  <c r="D646" i="1"/>
  <c r="D645" i="1"/>
  <c r="D644" i="1"/>
  <c r="D631" i="1"/>
  <c r="D623" i="1"/>
  <c r="D614" i="1"/>
  <c r="D602" i="1"/>
  <c r="D589" i="1"/>
  <c r="D723" i="1"/>
  <c r="D727" i="1"/>
  <c r="D732" i="1"/>
  <c r="D744" i="1"/>
  <c r="D790" i="1"/>
  <c r="D787" i="1"/>
  <c r="D806" i="1"/>
  <c r="D754" i="1"/>
  <c r="H562" i="1"/>
  <c r="H498" i="1"/>
  <c r="H526" i="1"/>
  <c r="H529" i="1"/>
  <c r="H534" i="1"/>
  <c r="H538" i="1"/>
  <c r="H542" i="1"/>
  <c r="H559" i="1"/>
  <c r="H546" i="1"/>
  <c r="H545" i="1"/>
  <c r="H532" i="1"/>
  <c r="H531" i="1"/>
  <c r="H504" i="1"/>
  <c r="H499" i="1"/>
  <c r="H496" i="1"/>
  <c r="H490" i="1"/>
  <c r="H484" i="1"/>
  <c r="H476" i="1"/>
  <c r="H470" i="1"/>
  <c r="H466" i="1"/>
  <c r="H460" i="1"/>
  <c r="H570" i="1"/>
  <c r="H569" i="1"/>
  <c r="H561" i="1"/>
  <c r="H554" i="1"/>
  <c r="H548" i="1"/>
  <c r="H544" i="1"/>
  <c r="H539" i="1"/>
  <c r="H536" i="1"/>
  <c r="H524" i="1"/>
  <c r="H513" i="1"/>
  <c r="H505" i="1"/>
  <c r="H497" i="1"/>
  <c r="H492" i="1"/>
  <c r="H486" i="1"/>
  <c r="H463" i="1"/>
  <c r="H462" i="1"/>
  <c r="H461" i="1"/>
  <c r="H459" i="1"/>
  <c r="H452" i="1"/>
  <c r="H450" i="1"/>
  <c r="H585" i="1"/>
  <c r="H584" i="1"/>
  <c r="H568" i="1"/>
  <c r="H560" i="1"/>
  <c r="H540" i="1"/>
  <c r="H537" i="1"/>
  <c r="H535" i="1"/>
  <c r="H511" i="1"/>
  <c r="H501" i="1"/>
  <c r="H454" i="1"/>
  <c r="H453" i="1"/>
  <c r="H449" i="1"/>
  <c r="D455" i="1"/>
  <c r="D464" i="1"/>
  <c r="D467" i="1"/>
  <c r="D472" i="1"/>
  <c r="D477" i="1"/>
  <c r="D494" i="1"/>
  <c r="D508" i="1"/>
  <c r="D514" i="1"/>
  <c r="D518" i="1"/>
  <c r="D527" i="1"/>
  <c r="D555" i="1"/>
  <c r="D557" i="1"/>
  <c r="D563" i="1"/>
  <c r="D571" i="1"/>
  <c r="D578" i="1"/>
  <c r="D442" i="1"/>
  <c r="H440" i="1"/>
  <c r="H439" i="1"/>
  <c r="H437" i="1"/>
  <c r="H436" i="1"/>
  <c r="H435" i="1"/>
  <c r="H434" i="1"/>
  <c r="H433" i="1"/>
  <c r="H432" i="1"/>
  <c r="H430" i="1"/>
  <c r="H427" i="1"/>
  <c r="H424" i="1"/>
  <c r="H421" i="1"/>
  <c r="H419" i="1"/>
  <c r="H416" i="1"/>
  <c r="D437" i="1" l="1"/>
  <c r="D417" i="1"/>
  <c r="D413" i="1"/>
  <c r="H412" i="1"/>
  <c r="H411" i="1"/>
  <c r="H409" i="1"/>
  <c r="H406" i="1"/>
  <c r="H404" i="1"/>
  <c r="H402" i="1"/>
  <c r="H403" i="1"/>
  <c r="H401" i="1"/>
  <c r="H400" i="1"/>
  <c r="H397" i="1"/>
  <c r="H394" i="1"/>
  <c r="H392" i="1"/>
  <c r="H386" i="1"/>
  <c r="H384" i="1"/>
  <c r="H383" i="1"/>
  <c r="H381" i="1"/>
  <c r="H380" i="1"/>
  <c r="H379" i="1"/>
  <c r="H371" i="1"/>
  <c r="H370" i="1"/>
  <c r="H369" i="1"/>
  <c r="H368" i="1"/>
  <c r="H367" i="1"/>
  <c r="H365" i="1"/>
  <c r="H360" i="1"/>
  <c r="H355" i="1"/>
  <c r="D388" i="1"/>
  <c r="D395" i="1"/>
  <c r="D372" i="1"/>
  <c r="D363" i="1"/>
  <c r="D361" i="1"/>
  <c r="D358" i="1"/>
  <c r="D356" i="1"/>
  <c r="H354" i="1"/>
  <c r="H353" i="1"/>
  <c r="D351" i="1"/>
  <c r="H330" i="1"/>
  <c r="D77" i="1"/>
  <c r="H345" i="1"/>
  <c r="H342" i="1"/>
  <c r="H341" i="1"/>
  <c r="H336" i="1"/>
  <c r="H335" i="1"/>
  <c r="H329" i="1"/>
  <c r="H321" i="1"/>
  <c r="H322" i="1"/>
  <c r="H320" i="1"/>
  <c r="H283" i="1"/>
  <c r="H328" i="1"/>
  <c r="H344" i="1"/>
  <c r="H318" i="1"/>
  <c r="H313" i="1"/>
  <c r="H310" i="1"/>
  <c r="H304" i="1"/>
  <c r="H301" i="1"/>
  <c r="H300" i="1"/>
  <c r="H299" i="1"/>
  <c r="H284" i="1"/>
  <c r="H271" i="1"/>
  <c r="H338" i="1"/>
  <c r="H337" i="1"/>
  <c r="H332" i="1"/>
  <c r="H326" i="1"/>
  <c r="H325" i="1"/>
  <c r="H324" i="1"/>
  <c r="H319" i="1"/>
  <c r="H307" i="1"/>
  <c r="H306" i="1"/>
  <c r="D302" i="1"/>
  <c r="D295" i="1"/>
  <c r="D289" i="1"/>
  <c r="D285" i="1"/>
  <c r="D272" i="1"/>
  <c r="H270" i="1"/>
  <c r="H288" i="1"/>
  <c r="H305" i="1"/>
  <c r="H308" i="1"/>
  <c r="H309" i="1"/>
  <c r="H311" i="1"/>
  <c r="H312" i="1"/>
  <c r="H314" i="1"/>
  <c r="H315" i="1"/>
  <c r="H316" i="1"/>
  <c r="H317" i="1"/>
  <c r="H323" i="1"/>
  <c r="H327" i="1"/>
  <c r="H331" i="1"/>
  <c r="H333" i="1"/>
  <c r="H334" i="1"/>
  <c r="H339" i="1"/>
  <c r="H340" i="1"/>
  <c r="H343" i="1"/>
  <c r="H346" i="1"/>
  <c r="H347" i="1"/>
  <c r="H348" i="1"/>
  <c r="H349" i="1"/>
  <c r="H350" i="1"/>
  <c r="H366" i="1"/>
  <c r="H376" i="1"/>
  <c r="H377" i="1"/>
  <c r="H378" i="1"/>
  <c r="H382" i="1"/>
  <c r="H385" i="1"/>
  <c r="H387" i="1"/>
  <c r="H390" i="1"/>
  <c r="H391" i="1"/>
  <c r="H393" i="1"/>
  <c r="H398" i="1"/>
  <c r="H399" i="1"/>
  <c r="H405" i="1"/>
  <c r="H407" i="1"/>
  <c r="H408" i="1"/>
  <c r="H410" i="1"/>
  <c r="H415" i="1"/>
  <c r="H420" i="1"/>
  <c r="H422" i="1"/>
  <c r="H423" i="1"/>
  <c r="H425" i="1"/>
  <c r="H426" i="1"/>
  <c r="H428" i="1"/>
  <c r="H429" i="1"/>
  <c r="H431" i="1"/>
  <c r="H441" i="1"/>
  <c r="H451" i="1"/>
  <c r="H458" i="1"/>
  <c r="H471" i="1"/>
  <c r="H483" i="1"/>
  <c r="H485" i="1"/>
  <c r="H487" i="1"/>
  <c r="H488" i="1"/>
  <c r="H489" i="1"/>
  <c r="H491" i="1"/>
  <c r="H493" i="1"/>
  <c r="H500" i="1"/>
  <c r="H502" i="1"/>
  <c r="H503" i="1"/>
  <c r="H506" i="1"/>
  <c r="H507" i="1"/>
  <c r="H512" i="1"/>
  <c r="H525" i="1"/>
  <c r="H530" i="1"/>
  <c r="H533" i="1"/>
  <c r="H541" i="1"/>
  <c r="H543" i="1"/>
  <c r="H547" i="1"/>
  <c r="H549" i="1"/>
  <c r="H550" i="1"/>
  <c r="H551" i="1"/>
  <c r="H552" i="1"/>
  <c r="H553" i="1"/>
  <c r="H577" i="1"/>
  <c r="H580" i="1"/>
  <c r="H581" i="1"/>
  <c r="H582" i="1"/>
  <c r="H583" i="1"/>
  <c r="H587" i="1"/>
  <c r="H592" i="1"/>
  <c r="H595" i="1"/>
  <c r="H596" i="1"/>
  <c r="H601" i="1"/>
  <c r="H618" i="1"/>
  <c r="H619" i="1"/>
  <c r="H625" i="1"/>
  <c r="H626" i="1"/>
  <c r="H627" i="1"/>
  <c r="H628" i="1"/>
  <c r="H647" i="1"/>
  <c r="H648" i="1"/>
  <c r="H654" i="1"/>
  <c r="H658" i="1"/>
  <c r="H661" i="1"/>
  <c r="H662" i="1"/>
  <c r="H663" i="1"/>
  <c r="H664" i="1"/>
  <c r="H665" i="1"/>
  <c r="H669" i="1"/>
  <c r="H670" i="1"/>
  <c r="H672" i="1"/>
  <c r="H673" i="1"/>
  <c r="H676" i="1"/>
  <c r="D266" i="1"/>
  <c r="H265" i="1"/>
  <c r="H257" i="1"/>
  <c r="H254" i="1"/>
  <c r="H253" i="1"/>
  <c r="H249" i="1"/>
  <c r="H248" i="1"/>
  <c r="H246" i="1"/>
  <c r="H242" i="1"/>
  <c r="H241" i="1"/>
  <c r="H235" i="1"/>
  <c r="H234" i="1"/>
  <c r="H232" i="1"/>
  <c r="H222" i="1"/>
  <c r="H223" i="1" l="1"/>
  <c r="H230" i="1"/>
  <c r="H231" i="1"/>
  <c r="H233" i="1"/>
  <c r="H236" i="1"/>
  <c r="H237" i="1"/>
  <c r="H245" i="1"/>
  <c r="H247" i="1"/>
  <c r="H252" i="1"/>
  <c r="H261" i="1"/>
  <c r="H262" i="1"/>
  <c r="H263" i="1"/>
  <c r="H264" i="1"/>
  <c r="D258" i="1"/>
  <c r="D255" i="1"/>
  <c r="D250" i="1"/>
  <c r="D243" i="1"/>
  <c r="D238" i="1"/>
  <c r="D224" i="1"/>
  <c r="D216" i="1"/>
  <c r="D207" i="1"/>
  <c r="H201" i="1"/>
  <c r="H203" i="1"/>
  <c r="H206" i="1"/>
  <c r="H202" i="1"/>
  <c r="H199" i="1"/>
  <c r="H198" i="1"/>
  <c r="H197" i="1"/>
  <c r="H196" i="1"/>
  <c r="H195" i="1"/>
  <c r="H194" i="1"/>
  <c r="H200" i="1"/>
  <c r="H204" i="1"/>
  <c r="H205" i="1"/>
  <c r="D191" i="1"/>
  <c r="H190" i="1"/>
  <c r="H188" i="1"/>
  <c r="H186" i="1"/>
  <c r="H177" i="1"/>
  <c r="H180" i="1"/>
  <c r="H181" i="1"/>
  <c r="H187" i="1"/>
  <c r="H189" i="1"/>
  <c r="D184" i="1"/>
  <c r="D182" i="1"/>
  <c r="H171" i="1"/>
  <c r="H172" i="1"/>
  <c r="H173" i="1"/>
  <c r="H174" i="1"/>
  <c r="H175" i="1"/>
  <c r="H176" i="1"/>
  <c r="H170" i="1"/>
  <c r="D166" i="1"/>
  <c r="H165" i="1"/>
  <c r="H164" i="1"/>
  <c r="H156" i="1"/>
  <c r="H155" i="1"/>
  <c r="H143" i="1"/>
  <c r="H163" i="1"/>
  <c r="H162" i="1"/>
  <c r="H161" i="1"/>
  <c r="H160" i="1"/>
  <c r="H158" i="1"/>
  <c r="H157" i="1"/>
  <c r="H152" i="1"/>
  <c r="H151" i="1"/>
  <c r="H150" i="1"/>
  <c r="H148" i="1"/>
  <c r="H140" i="1"/>
  <c r="H153" i="1"/>
  <c r="H147" i="1"/>
  <c r="H146" i="1"/>
  <c r="H144" i="1"/>
  <c r="H142" i="1"/>
  <c r="H134" i="1"/>
  <c r="H132" i="1"/>
  <c r="H133" i="1"/>
  <c r="H135" i="1"/>
  <c r="H136" i="1"/>
  <c r="H137" i="1"/>
  <c r="H138" i="1"/>
  <c r="H139" i="1"/>
  <c r="H141" i="1"/>
  <c r="H145" i="1"/>
  <c r="H149" i="1"/>
  <c r="H154" i="1"/>
  <c r="H159" i="1"/>
  <c r="H131" i="1"/>
  <c r="D129" i="1"/>
  <c r="H128" i="1"/>
  <c r="H127" i="1"/>
  <c r="H126" i="1"/>
  <c r="H125" i="1"/>
  <c r="H120" i="1"/>
  <c r="H116" i="1"/>
  <c r="H115" i="1"/>
  <c r="H113" i="1"/>
  <c r="H112" i="1"/>
  <c r="H111" i="1"/>
  <c r="H110" i="1"/>
  <c r="H109" i="1"/>
  <c r="D123" i="1"/>
  <c r="D106" i="1"/>
  <c r="H105" i="1"/>
  <c r="D101" i="1"/>
  <c r="H99" i="1"/>
  <c r="H100" i="1"/>
  <c r="H98" i="1"/>
  <c r="H97" i="1"/>
  <c r="H95" i="1"/>
  <c r="H93" i="1"/>
  <c r="H94" i="1"/>
  <c r="H92" i="1"/>
  <c r="H87" i="1"/>
  <c r="D85" i="1"/>
  <c r="H84" i="1"/>
  <c r="H83" i="1"/>
  <c r="H82" i="1"/>
  <c r="H81" i="1"/>
  <c r="D79" i="1"/>
  <c r="H76" i="1"/>
  <c r="D74" i="1"/>
  <c r="H72" i="1"/>
  <c r="H73" i="1"/>
  <c r="H71" i="1"/>
  <c r="H69" i="1"/>
  <c r="H67" i="1"/>
  <c r="H66" i="1"/>
  <c r="D66" i="1"/>
  <c r="H65" i="1"/>
  <c r="D65" i="1"/>
  <c r="D63" i="1"/>
  <c r="H61" i="1"/>
  <c r="H62" i="1"/>
  <c r="H60" i="1"/>
  <c r="H59" i="1"/>
  <c r="D57" i="1"/>
  <c r="H55" i="1"/>
  <c r="H54" i="1"/>
  <c r="D52" i="1"/>
  <c r="H47" i="1"/>
  <c r="H48" i="1"/>
  <c r="H49" i="1"/>
  <c r="H50" i="1"/>
  <c r="H46" i="1"/>
  <c r="H45" i="1"/>
  <c r="H44" i="1"/>
  <c r="H43" i="1"/>
  <c r="D43" i="1"/>
  <c r="H42" i="1"/>
  <c r="H51" i="1"/>
  <c r="H56" i="1"/>
  <c r="H68" i="1"/>
  <c r="H70" i="1"/>
  <c r="H88" i="1"/>
  <c r="H89" i="1"/>
  <c r="H90" i="1"/>
  <c r="H91" i="1"/>
  <c r="H96" i="1"/>
  <c r="H114" i="1"/>
  <c r="H117" i="1"/>
  <c r="H118" i="1"/>
  <c r="H119" i="1"/>
  <c r="H121" i="1"/>
  <c r="H122" i="1"/>
  <c r="H41" i="1"/>
  <c r="D41" i="1"/>
  <c r="D38" i="1"/>
  <c r="H37" i="1"/>
  <c r="D37" i="1"/>
  <c r="D34" i="1"/>
  <c r="H33" i="1"/>
  <c r="D33" i="1"/>
  <c r="D30" i="1"/>
  <c r="H29" i="1"/>
  <c r="D29" i="1"/>
  <c r="H28" i="1"/>
  <c r="D25" i="1"/>
  <c r="D19" i="1"/>
  <c r="D17" i="1"/>
  <c r="D14" i="1"/>
  <c r="H13" i="1"/>
  <c r="D13" i="1"/>
  <c r="H12" i="1"/>
  <c r="D10" i="1"/>
  <c r="H9" i="1"/>
  <c r="H8" i="1"/>
  <c r="D8" i="1"/>
  <c r="G846" i="1"/>
  <c r="G384" i="1"/>
  <c r="G232" i="1" l="1"/>
  <c r="G33" i="1"/>
  <c r="G194" i="1"/>
  <c r="G177" i="1"/>
  <c r="G147" i="1"/>
  <c r="G144" i="1"/>
  <c r="G134" i="1"/>
  <c r="G786" i="1" l="1"/>
  <c r="G751" i="1"/>
  <c r="G553" i="1"/>
  <c r="G543" i="1"/>
  <c r="G466" i="1"/>
  <c r="G56" i="1"/>
  <c r="G712" i="1"/>
  <c r="G808" i="1"/>
  <c r="G462" i="1"/>
  <c r="G397" i="1"/>
  <c r="G206" i="1"/>
  <c r="G601" i="1"/>
  <c r="G581" i="1"/>
  <c r="G305" i="1"/>
  <c r="G682" i="1"/>
  <c r="G641" i="1"/>
  <c r="G112" i="1"/>
  <c r="G379" i="1"/>
  <c r="G828" i="1"/>
  <c r="G799" i="1"/>
  <c r="G797" i="1"/>
  <c r="G585" i="1"/>
  <c r="G568" i="1"/>
  <c r="G540" i="1"/>
  <c r="G511" i="1"/>
  <c r="G501" i="1"/>
  <c r="G436" i="1"/>
  <c r="G434" i="1"/>
  <c r="G370" i="1"/>
  <c r="G369" i="1"/>
  <c r="G368" i="1"/>
  <c r="G365" i="1"/>
  <c r="G283" i="1"/>
  <c r="G8" i="1"/>
  <c r="G848" i="1"/>
  <c r="G845" i="1"/>
  <c r="G835" i="1"/>
  <c r="G820" i="1"/>
  <c r="G815" i="1"/>
  <c r="G805" i="1"/>
  <c r="G804" i="1"/>
  <c r="G803" i="1"/>
  <c r="G778" i="1"/>
  <c r="G775" i="1"/>
  <c r="G756" i="1"/>
  <c r="G755" i="1"/>
  <c r="G735" i="1"/>
  <c r="G725" i="1"/>
  <c r="G713" i="1"/>
  <c r="G711" i="1"/>
  <c r="G699" i="1"/>
  <c r="G690" i="1"/>
  <c r="G678" i="1"/>
  <c r="G677" i="1"/>
  <c r="G675" i="1"/>
  <c r="G671" i="1"/>
  <c r="G666" i="1"/>
  <c r="G660" i="1"/>
  <c r="G642" i="1"/>
  <c r="G640" i="1"/>
  <c r="G569" i="1"/>
  <c r="G561" i="1"/>
  <c r="G554" i="1"/>
  <c r="G548" i="1"/>
  <c r="G513" i="1"/>
  <c r="G505" i="1"/>
  <c r="G486" i="1"/>
  <c r="G463" i="1"/>
  <c r="G461" i="1"/>
  <c r="G452" i="1"/>
  <c r="G450" i="1"/>
  <c r="G440" i="1"/>
  <c r="G439" i="1"/>
  <c r="G433" i="1"/>
  <c r="G432" i="1"/>
  <c r="G430" i="1"/>
  <c r="G424" i="1"/>
  <c r="G416" i="1"/>
  <c r="G412" i="1"/>
  <c r="G381" i="1"/>
  <c r="G371" i="1"/>
  <c r="G344" i="1"/>
  <c r="G310" i="1"/>
  <c r="G304" i="1"/>
  <c r="G300" i="1"/>
  <c r="G284" i="1"/>
  <c r="G264" i="1"/>
  <c r="G247" i="1"/>
  <c r="G237" i="1"/>
  <c r="G233" i="1"/>
  <c r="G231" i="1"/>
  <c r="G230" i="1"/>
  <c r="G223" i="1"/>
  <c r="G203" i="1"/>
  <c r="G128" i="1"/>
  <c r="G126" i="1"/>
  <c r="G120" i="1"/>
  <c r="G111" i="1"/>
  <c r="G110" i="1"/>
  <c r="G878" i="1"/>
  <c r="G866" i="1"/>
  <c r="G860" i="1"/>
  <c r="G859" i="1"/>
  <c r="G857" i="1"/>
  <c r="G855" i="1"/>
  <c r="G851" i="1"/>
  <c r="G842" i="1"/>
  <c r="G841" i="1"/>
  <c r="G833" i="1"/>
  <c r="G832" i="1"/>
  <c r="G829" i="1"/>
  <c r="G827" i="1"/>
  <c r="G826" i="1"/>
  <c r="G825" i="1"/>
  <c r="G818" i="1"/>
  <c r="G819" i="1"/>
  <c r="G817" i="1"/>
  <c r="G798" i="1"/>
  <c r="G795" i="1"/>
  <c r="G754" i="1"/>
  <c r="G785" i="1"/>
  <c r="G783" i="1"/>
  <c r="G779" i="1"/>
  <c r="G767" i="1"/>
  <c r="G764" i="1"/>
  <c r="G763" i="1"/>
  <c r="G760" i="1"/>
  <c r="G759" i="1"/>
  <c r="G758" i="1"/>
  <c r="G753" i="1"/>
  <c r="G737" i="1"/>
  <c r="G722" i="1"/>
  <c r="G716" i="1"/>
  <c r="G709" i="1"/>
  <c r="G705" i="1"/>
  <c r="G700" i="1"/>
  <c r="G688" i="1"/>
  <c r="G685" i="1"/>
  <c r="G683" i="1"/>
  <c r="G679" i="1"/>
  <c r="G663" i="1"/>
  <c r="G662" i="1"/>
  <c r="G661" i="1"/>
  <c r="G650" i="1"/>
  <c r="G647" i="1"/>
  <c r="G643" i="1"/>
  <c r="G638" i="1"/>
  <c r="G635" i="1"/>
  <c r="G626" i="1"/>
  <c r="G622" i="1"/>
  <c r="G621" i="1"/>
  <c r="G619" i="1"/>
  <c r="G617" i="1"/>
  <c r="G613" i="1"/>
  <c r="G612" i="1"/>
  <c r="G605" i="1"/>
  <c r="G598" i="1"/>
  <c r="G595" i="1"/>
  <c r="G592" i="1"/>
  <c r="G583" i="1"/>
  <c r="G562" i="1"/>
  <c r="G551" i="1"/>
  <c r="G550" i="1"/>
  <c r="G541" i="1"/>
  <c r="G534" i="1"/>
  <c r="G531" i="1"/>
  <c r="G529" i="1"/>
  <c r="G512" i="1"/>
  <c r="G507" i="1"/>
  <c r="G506" i="1"/>
  <c r="G504" i="1"/>
  <c r="G503" i="1"/>
  <c r="G502" i="1"/>
  <c r="G500" i="1"/>
  <c r="G499" i="1"/>
  <c r="G496" i="1"/>
  <c r="G493" i="1"/>
  <c r="G491" i="1"/>
  <c r="G488" i="1"/>
  <c r="G485" i="1"/>
  <c r="G484" i="1"/>
  <c r="G483" i="1"/>
  <c r="G476" i="1"/>
  <c r="G470" i="1"/>
  <c r="G451" i="1"/>
  <c r="G441" i="1"/>
  <c r="G437" i="1"/>
  <c r="G429" i="1"/>
  <c r="G428" i="1"/>
  <c r="G426" i="1"/>
  <c r="G425" i="1"/>
  <c r="G419" i="1"/>
  <c r="G409" i="1"/>
  <c r="G405" i="1"/>
  <c r="G402" i="1"/>
  <c r="G401" i="1"/>
  <c r="G398" i="1"/>
  <c r="G394" i="1"/>
  <c r="G391" i="1"/>
  <c r="G390" i="1"/>
  <c r="G387" i="1"/>
  <c r="G386" i="1"/>
  <c r="G385" i="1"/>
  <c r="G382" i="1"/>
  <c r="G378" i="1"/>
  <c r="G377" i="1"/>
  <c r="G376" i="1"/>
  <c r="G350" i="1"/>
  <c r="G349" i="1"/>
  <c r="G348" i="1"/>
  <c r="G346" i="1"/>
  <c r="G345" i="1"/>
  <c r="G340" i="1"/>
  <c r="G338" i="1"/>
  <c r="G337" i="1"/>
  <c r="G334" i="1"/>
  <c r="G332" i="1"/>
  <c r="G331" i="1"/>
  <c r="G316" i="1"/>
  <c r="G315" i="1"/>
  <c r="G314" i="1"/>
  <c r="G312" i="1"/>
  <c r="G311" i="1"/>
  <c r="G309" i="1"/>
  <c r="G308" i="1"/>
  <c r="G288" i="1"/>
  <c r="G265" i="1"/>
  <c r="G257" i="1"/>
  <c r="G254" i="1"/>
  <c r="G253" i="1"/>
  <c r="G249" i="1"/>
  <c r="G246" i="1"/>
  <c r="G242" i="1"/>
  <c r="G202" i="1"/>
  <c r="G190" i="1"/>
  <c r="G187" i="1"/>
  <c r="G180" i="1"/>
  <c r="G176" i="1"/>
  <c r="G175" i="1"/>
  <c r="G174" i="1"/>
  <c r="G173" i="1"/>
  <c r="G170" i="1"/>
  <c r="G146" i="1"/>
  <c r="G145" i="1"/>
  <c r="G142" i="1"/>
  <c r="G141" i="1"/>
  <c r="G137" i="1"/>
  <c r="G135" i="1"/>
  <c r="G133" i="1"/>
  <c r="G131" i="1"/>
  <c r="G127" i="1"/>
  <c r="G121" i="1"/>
  <c r="G116" i="1"/>
  <c r="G114" i="1"/>
  <c r="G109" i="1"/>
  <c r="G100" i="1"/>
  <c r="G98" i="1"/>
  <c r="G97" i="1"/>
  <c r="G94" i="1"/>
  <c r="G91" i="1"/>
  <c r="G90" i="1"/>
  <c r="G88" i="1"/>
  <c r="G87" i="1"/>
  <c r="G84" i="1"/>
  <c r="G83" i="1"/>
  <c r="G71" i="1"/>
  <c r="G68" i="1"/>
  <c r="G67" i="1"/>
  <c r="G66" i="1"/>
  <c r="G65" i="1"/>
  <c r="G59" i="1"/>
  <c r="G55" i="1"/>
  <c r="G54" i="1"/>
  <c r="G50" i="1"/>
  <c r="G46" i="1"/>
  <c r="G43" i="1"/>
  <c r="G37" i="1"/>
  <c r="G29" i="1"/>
  <c r="G13" i="1"/>
  <c r="G12" i="1"/>
  <c r="G9" i="1"/>
  <c r="G261" i="1"/>
  <c r="G856" i="1"/>
  <c r="G703" i="1"/>
  <c r="G695" i="1"/>
  <c r="G664" i="1"/>
  <c r="G609" i="1"/>
  <c r="G596" i="1"/>
  <c r="G489" i="1"/>
  <c r="G393" i="1"/>
  <c r="G366" i="1"/>
  <c r="G327" i="1"/>
  <c r="G307" i="1"/>
  <c r="G181" i="1"/>
  <c r="G49" i="1"/>
  <c r="G408" i="1"/>
  <c r="G594" i="1"/>
  <c r="G113" i="1"/>
  <c r="G317" i="1"/>
  <c r="G669" i="1"/>
  <c r="G861" i="1"/>
  <c r="G726" i="1"/>
  <c r="G668" i="1"/>
  <c r="G667" i="1"/>
  <c r="G544" i="1"/>
  <c r="G536" i="1"/>
  <c r="G271" i="1"/>
  <c r="G61" i="1"/>
  <c r="G684" i="1"/>
  <c r="G584" i="1"/>
  <c r="G537" i="1"/>
  <c r="G454" i="1"/>
  <c r="G453" i="1"/>
  <c r="G449" i="1"/>
  <c r="G435" i="1"/>
  <c r="G406" i="1"/>
  <c r="G328" i="1"/>
  <c r="G222" i="1"/>
  <c r="G195" i="1"/>
  <c r="G165" i="1"/>
  <c r="G781" i="1"/>
  <c r="G777" i="1"/>
  <c r="G776" i="1"/>
  <c r="G773" i="1"/>
  <c r="G752" i="1"/>
  <c r="G743" i="1"/>
  <c r="G676" i="1"/>
  <c r="G658" i="1"/>
  <c r="G654" i="1"/>
  <c r="G648" i="1"/>
  <c r="G639" i="1"/>
  <c r="G637" i="1"/>
  <c r="G636" i="1"/>
  <c r="G628" i="1"/>
  <c r="G627" i="1"/>
  <c r="G625" i="1"/>
  <c r="G616" i="1"/>
  <c r="G615" i="1"/>
  <c r="G559" i="1"/>
  <c r="G552" i="1"/>
  <c r="G549" i="1"/>
  <c r="G547" i="1"/>
  <c r="G546" i="1"/>
  <c r="G545" i="1"/>
  <c r="G542" i="1"/>
  <c r="G538" i="1"/>
  <c r="G532" i="1"/>
  <c r="G530" i="1"/>
  <c r="G526" i="1"/>
  <c r="G525" i="1"/>
  <c r="G498" i="1"/>
  <c r="G490" i="1"/>
  <c r="G487" i="1"/>
  <c r="G471" i="1"/>
  <c r="G423" i="1"/>
  <c r="G422" i="1"/>
  <c r="G420" i="1"/>
  <c r="G415" i="1"/>
  <c r="G410" i="1"/>
  <c r="G404" i="1"/>
  <c r="G403" i="1"/>
  <c r="G400" i="1"/>
  <c r="G392" i="1"/>
  <c r="G383" i="1"/>
  <c r="G360" i="1"/>
  <c r="G354" i="1"/>
  <c r="G355" i="1"/>
  <c r="G353" i="1"/>
  <c r="G347" i="1"/>
  <c r="G343" i="1"/>
  <c r="G342" i="1"/>
  <c r="G341" i="1"/>
  <c r="G339" i="1"/>
  <c r="G336" i="1"/>
  <c r="G335" i="1"/>
  <c r="G333" i="1"/>
  <c r="G329" i="1"/>
  <c r="G325" i="1"/>
  <c r="G324" i="1"/>
  <c r="G323" i="1"/>
  <c r="G322" i="1"/>
  <c r="G321" i="1"/>
  <c r="G320" i="1"/>
  <c r="G319" i="1"/>
  <c r="G270" i="1"/>
  <c r="G248" i="1"/>
  <c r="G241" i="1"/>
  <c r="G205" i="1"/>
  <c r="G204" i="1"/>
  <c r="G201" i="1"/>
  <c r="G200" i="1"/>
  <c r="G199" i="1"/>
  <c r="G198" i="1"/>
  <c r="G197" i="1"/>
  <c r="G196" i="1"/>
  <c r="G189" i="1"/>
  <c r="G186" i="1"/>
  <c r="G172" i="1"/>
  <c r="G171" i="1"/>
  <c r="G163" i="1"/>
  <c r="G162" i="1"/>
  <c r="G161" i="1"/>
  <c r="G160" i="1"/>
  <c r="G158" i="1"/>
  <c r="G157" i="1"/>
  <c r="G156" i="1"/>
  <c r="G155" i="1"/>
  <c r="G154" i="1"/>
  <c r="G153" i="1"/>
  <c r="G152" i="1"/>
  <c r="G151" i="1"/>
  <c r="G150" i="1"/>
  <c r="G149" i="1"/>
  <c r="G148" i="1"/>
  <c r="G140" i="1"/>
  <c r="G139" i="1"/>
  <c r="G138" i="1"/>
  <c r="G136" i="1"/>
  <c r="G132" i="1"/>
  <c r="G125" i="1"/>
  <c r="G122" i="1"/>
  <c r="G119" i="1"/>
  <c r="G118" i="1"/>
  <c r="G115" i="1"/>
  <c r="G105" i="1"/>
  <c r="G99" i="1"/>
  <c r="G96" i="1"/>
  <c r="G95" i="1"/>
  <c r="G93" i="1"/>
  <c r="G92" i="1"/>
  <c r="G89" i="1"/>
  <c r="G82" i="1"/>
  <c r="G76" i="1"/>
  <c r="G73" i="1"/>
  <c r="G72" i="1"/>
  <c r="G70" i="1"/>
  <c r="G69" i="1"/>
  <c r="G62" i="1"/>
  <c r="G51" i="1"/>
  <c r="G48" i="1"/>
  <c r="G47" i="1"/>
  <c r="G45" i="1"/>
  <c r="G42" i="1"/>
  <c r="G41" i="1"/>
  <c r="G28" i="1"/>
  <c r="G843" i="1"/>
  <c r="G802" i="1"/>
  <c r="G796" i="1"/>
  <c r="G768" i="1"/>
  <c r="G734" i="1"/>
  <c r="G730" i="1"/>
  <c r="G719" i="1"/>
  <c r="G706" i="1"/>
  <c r="G704" i="1"/>
  <c r="G698" i="1"/>
  <c r="G697" i="1"/>
  <c r="G694" i="1"/>
  <c r="G693" i="1"/>
  <c r="G691" i="1"/>
  <c r="G655" i="1"/>
  <c r="G630" i="1"/>
  <c r="G629" i="1"/>
  <c r="G620" i="1"/>
  <c r="G611" i="1"/>
  <c r="G610" i="1"/>
  <c r="G608" i="1"/>
  <c r="G604" i="1"/>
  <c r="G570" i="1"/>
  <c r="G539" i="1"/>
  <c r="G524" i="1"/>
  <c r="G497" i="1"/>
  <c r="G492" i="1"/>
  <c r="G421" i="1"/>
  <c r="G411" i="1"/>
  <c r="G380" i="1"/>
  <c r="G318" i="1"/>
  <c r="G313" i="1"/>
  <c r="G299" i="1"/>
  <c r="G263" i="1"/>
  <c r="G262" i="1"/>
  <c r="G245" i="1"/>
  <c r="G236" i="1"/>
  <c r="G164" i="1"/>
  <c r="G143" i="1"/>
  <c r="G81" i="1"/>
  <c r="G614" i="1"/>
  <c r="G863" i="1"/>
  <c r="G862" i="1"/>
  <c r="G858" i="1"/>
  <c r="G854" i="1"/>
  <c r="G853" i="1"/>
  <c r="G852" i="1"/>
  <c r="G850" i="1"/>
  <c r="G849" i="1"/>
  <c r="G847" i="1"/>
  <c r="G844" i="1"/>
  <c r="G836" i="1"/>
  <c r="G834" i="1"/>
  <c r="G831" i="1"/>
  <c r="G830" i="1"/>
  <c r="G814" i="1"/>
  <c r="G813" i="1"/>
  <c r="G812" i="1"/>
  <c r="G811" i="1"/>
  <c r="G810" i="1"/>
  <c r="G809" i="1"/>
  <c r="G807" i="1"/>
  <c r="G801" i="1"/>
  <c r="G800" i="1"/>
  <c r="G789" i="1"/>
  <c r="G784" i="1"/>
  <c r="G782" i="1"/>
  <c r="G780" i="1"/>
  <c r="G774" i="1"/>
  <c r="G772" i="1"/>
  <c r="G771" i="1"/>
  <c r="G770" i="1"/>
  <c r="G769" i="1"/>
  <c r="G766" i="1"/>
  <c r="G765" i="1"/>
  <c r="G762" i="1"/>
  <c r="G761" i="1"/>
  <c r="G757" i="1"/>
  <c r="G750" i="1"/>
  <c r="G749" i="1"/>
  <c r="G748" i="1"/>
  <c r="G739" i="1"/>
  <c r="G740" i="1"/>
  <c r="G741" i="1"/>
  <c r="G742" i="1"/>
  <c r="G738" i="1"/>
  <c r="G721" i="1"/>
  <c r="G720" i="1"/>
  <c r="G718" i="1"/>
  <c r="G717" i="1"/>
  <c r="G715" i="1"/>
  <c r="G714" i="1"/>
  <c r="G710" i="1"/>
  <c r="G696" i="1"/>
  <c r="G689" i="1"/>
  <c r="G687" i="1"/>
  <c r="G673" i="1"/>
  <c r="G672" i="1"/>
  <c r="G670" i="1"/>
  <c r="G665" i="1"/>
  <c r="G659" i="1"/>
  <c r="G607" i="1"/>
  <c r="G597" i="1"/>
  <c r="G593" i="1"/>
  <c r="G588" i="1"/>
  <c r="G587" i="1"/>
  <c r="G586" i="1"/>
  <c r="G816" i="1"/>
  <c r="G731" i="1"/>
  <c r="G692" i="1"/>
  <c r="G606" i="1"/>
  <c r="G582" i="1"/>
  <c r="G460" i="1"/>
  <c r="G427" i="1"/>
  <c r="G686" i="1"/>
  <c r="G301" i="1"/>
  <c r="G252" i="1"/>
  <c r="G188" i="1"/>
  <c r="G824" i="1"/>
  <c r="G618" i="1"/>
  <c r="G326" i="1"/>
  <c r="G306" i="1"/>
  <c r="G159" i="1"/>
  <c r="G44" i="1"/>
  <c r="G60" i="1"/>
  <c r="G459" i="1"/>
  <c r="G580" i="1"/>
  <c r="G577" i="1"/>
  <c r="G458" i="1"/>
  <c r="G367" i="1"/>
  <c r="G235" i="1"/>
  <c r="G117" i="1"/>
  <c r="G600" i="1"/>
  <c r="G729" i="1"/>
  <c r="G560" i="1"/>
  <c r="G533" i="1"/>
  <c r="G407" i="1"/>
  <c r="G399" i="1"/>
  <c r="G736" i="1"/>
  <c r="G330" i="1"/>
  <c r="G535" i="1"/>
  <c r="G431" i="1"/>
  <c r="G234" i="1"/>
  <c r="G599" i="1"/>
  <c r="G877" i="1" l="1"/>
  <c r="D877" i="1"/>
  <c r="F877" i="1" s="1"/>
  <c r="E876" i="1"/>
  <c r="G875" i="1"/>
  <c r="D875" i="1"/>
  <c r="F875" i="1" s="1"/>
  <c r="G874" i="1"/>
  <c r="D874" i="1"/>
  <c r="F874" i="1" s="1"/>
  <c r="E873" i="1"/>
  <c r="G872" i="1"/>
  <c r="D872" i="1"/>
  <c r="F872" i="1" s="1"/>
  <c r="G871" i="1"/>
  <c r="D871" i="1"/>
  <c r="F871" i="1" s="1"/>
  <c r="E870" i="1"/>
  <c r="G869" i="1"/>
  <c r="D869" i="1"/>
  <c r="F869" i="1" s="1"/>
  <c r="G868" i="1"/>
  <c r="D868" i="1"/>
  <c r="F868" i="1" s="1"/>
  <c r="E867" i="1"/>
  <c r="G865" i="1"/>
  <c r="D865" i="1"/>
  <c r="F865" i="1" s="1"/>
  <c r="E864" i="1"/>
  <c r="G840" i="1"/>
  <c r="D840" i="1"/>
  <c r="F840" i="1" s="1"/>
  <c r="G839" i="1"/>
  <c r="D839" i="1"/>
  <c r="F839" i="1" s="1"/>
  <c r="G838" i="1"/>
  <c r="D838" i="1"/>
  <c r="F838" i="1" s="1"/>
  <c r="E837" i="1"/>
  <c r="G823" i="1"/>
  <c r="D823" i="1"/>
  <c r="F823" i="1" s="1"/>
  <c r="G822" i="1"/>
  <c r="D822" i="1"/>
  <c r="F822" i="1" s="1"/>
  <c r="E821" i="1"/>
  <c r="E806" i="1"/>
  <c r="G794" i="1"/>
  <c r="D794" i="1"/>
  <c r="F794" i="1" s="1"/>
  <c r="G793" i="1"/>
  <c r="D793" i="1"/>
  <c r="F793" i="1" s="1"/>
  <c r="G792" i="1"/>
  <c r="D792" i="1"/>
  <c r="F792" i="1" s="1"/>
  <c r="G791" i="1"/>
  <c r="D791" i="1"/>
  <c r="F791" i="1" s="1"/>
  <c r="E790" i="1"/>
  <c r="E787" i="1"/>
  <c r="G747" i="1"/>
  <c r="D747" i="1"/>
  <c r="F747" i="1" s="1"/>
  <c r="G746" i="1"/>
  <c r="D746" i="1"/>
  <c r="F746" i="1" s="1"/>
  <c r="G745" i="1"/>
  <c r="D745" i="1"/>
  <c r="F745" i="1" s="1"/>
  <c r="E744" i="1"/>
  <c r="E732" i="1"/>
  <c r="E727" i="1"/>
  <c r="E723" i="1"/>
  <c r="E707" i="1"/>
  <c r="E701" i="1"/>
  <c r="F681" i="1"/>
  <c r="E680" i="1"/>
  <c r="E674" i="1"/>
  <c r="F657" i="1"/>
  <c r="E656" i="1"/>
  <c r="E653" i="1"/>
  <c r="E652" i="1"/>
  <c r="E651" i="1"/>
  <c r="E649" i="1"/>
  <c r="E646" i="1"/>
  <c r="E645" i="1"/>
  <c r="E644" i="1"/>
  <c r="F634" i="1"/>
  <c r="F633" i="1"/>
  <c r="F632" i="1"/>
  <c r="E631" i="1"/>
  <c r="F624" i="1"/>
  <c r="E623" i="1"/>
  <c r="E614" i="1"/>
  <c r="H614" i="1" s="1"/>
  <c r="G623" i="1" l="1"/>
  <c r="H623" i="1"/>
  <c r="G631" i="1"/>
  <c r="H631" i="1"/>
  <c r="G644" i="1"/>
  <c r="H644" i="1"/>
  <c r="G646" i="1"/>
  <c r="H646" i="1"/>
  <c r="G651" i="1"/>
  <c r="H651" i="1"/>
  <c r="G653" i="1"/>
  <c r="H653" i="1"/>
  <c r="G680" i="1"/>
  <c r="H680" i="1"/>
  <c r="G701" i="1"/>
  <c r="H701" i="1"/>
  <c r="G723" i="1"/>
  <c r="H723" i="1"/>
  <c r="G732" i="1"/>
  <c r="H732" i="1"/>
  <c r="G787" i="1"/>
  <c r="H787" i="1"/>
  <c r="G806" i="1"/>
  <c r="H806" i="1"/>
  <c r="G837" i="1"/>
  <c r="H837" i="1"/>
  <c r="G867" i="1"/>
  <c r="H867" i="1"/>
  <c r="G873" i="1"/>
  <c r="H873" i="1"/>
  <c r="G645" i="1"/>
  <c r="H645" i="1"/>
  <c r="G649" i="1"/>
  <c r="H649" i="1"/>
  <c r="G652" i="1"/>
  <c r="H652" i="1"/>
  <c r="G656" i="1"/>
  <c r="H656" i="1"/>
  <c r="G674" i="1"/>
  <c r="H674" i="1"/>
  <c r="G707" i="1"/>
  <c r="H707" i="1"/>
  <c r="G727" i="1"/>
  <c r="H727" i="1"/>
  <c r="G744" i="1"/>
  <c r="H744" i="1"/>
  <c r="G790" i="1"/>
  <c r="H790" i="1"/>
  <c r="G821" i="1"/>
  <c r="H821" i="1"/>
  <c r="G864" i="1"/>
  <c r="H864" i="1"/>
  <c r="G870" i="1"/>
  <c r="H870" i="1"/>
  <c r="G876" i="1"/>
  <c r="H876" i="1"/>
  <c r="F618" i="1"/>
  <c r="F641" i="1"/>
  <c r="F660" i="1"/>
  <c r="F664" i="1"/>
  <c r="F667" i="1"/>
  <c r="F668" i="1"/>
  <c r="F669" i="1"/>
  <c r="F682" i="1"/>
  <c r="F684" i="1"/>
  <c r="F686" i="1"/>
  <c r="F692" i="1"/>
  <c r="F693" i="1"/>
  <c r="F694" i="1"/>
  <c r="F695" i="1"/>
  <c r="F696" i="1"/>
  <c r="F697" i="1"/>
  <c r="F698" i="1"/>
  <c r="F699" i="1"/>
  <c r="F700" i="1"/>
  <c r="F703" i="1"/>
  <c r="F704" i="1"/>
  <c r="F705" i="1"/>
  <c r="F706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5" i="1"/>
  <c r="F726" i="1"/>
  <c r="F729" i="1"/>
  <c r="F730" i="1"/>
  <c r="F731" i="1"/>
  <c r="F734" i="1"/>
  <c r="F735" i="1"/>
  <c r="F736" i="1"/>
  <c r="F737" i="1"/>
  <c r="F738" i="1"/>
  <c r="F739" i="1"/>
  <c r="F740" i="1"/>
  <c r="F741" i="1"/>
  <c r="F742" i="1"/>
  <c r="F743" i="1"/>
  <c r="F748" i="1"/>
  <c r="F749" i="1"/>
  <c r="F750" i="1"/>
  <c r="F751" i="1"/>
  <c r="F752" i="1"/>
  <c r="F753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9" i="1"/>
  <c r="F795" i="1"/>
  <c r="F796" i="1"/>
  <c r="F797" i="1"/>
  <c r="F798" i="1"/>
  <c r="F799" i="1"/>
  <c r="F800" i="1"/>
  <c r="F801" i="1"/>
  <c r="F802" i="1"/>
  <c r="F803" i="1"/>
  <c r="F804" i="1"/>
  <c r="F805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6" i="1"/>
  <c r="F878" i="1"/>
  <c r="F876" i="1" l="1"/>
  <c r="F873" i="1"/>
  <c r="F870" i="1"/>
  <c r="F867" i="1"/>
  <c r="F864" i="1"/>
  <c r="F837" i="1"/>
  <c r="F821" i="1"/>
  <c r="F806" i="1"/>
  <c r="F790" i="1"/>
  <c r="F787" i="1"/>
  <c r="F754" i="1"/>
  <c r="F744" i="1"/>
  <c r="F732" i="1"/>
  <c r="F727" i="1"/>
  <c r="F723" i="1"/>
  <c r="F707" i="1"/>
  <c r="F701" i="1"/>
  <c r="F691" i="1"/>
  <c r="F690" i="1"/>
  <c r="F689" i="1"/>
  <c r="F688" i="1"/>
  <c r="F687" i="1"/>
  <c r="F685" i="1"/>
  <c r="F683" i="1"/>
  <c r="F680" i="1"/>
  <c r="F679" i="1"/>
  <c r="F678" i="1"/>
  <c r="F677" i="1"/>
  <c r="F676" i="1"/>
  <c r="F675" i="1"/>
  <c r="F674" i="1"/>
  <c r="F673" i="1"/>
  <c r="F672" i="1"/>
  <c r="F671" i="1"/>
  <c r="F670" i="1"/>
  <c r="F666" i="1"/>
  <c r="F665" i="1"/>
  <c r="F663" i="1"/>
  <c r="F662" i="1"/>
  <c r="F661" i="1"/>
  <c r="F659" i="1"/>
  <c r="F658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0" i="1"/>
  <c r="F639" i="1"/>
  <c r="F638" i="1"/>
  <c r="F637" i="1"/>
  <c r="F636" i="1"/>
  <c r="F635" i="1"/>
  <c r="F631" i="1"/>
  <c r="F630" i="1"/>
  <c r="F629" i="1"/>
  <c r="F628" i="1"/>
  <c r="F627" i="1"/>
  <c r="F626" i="1"/>
  <c r="F625" i="1"/>
  <c r="F623" i="1"/>
  <c r="F622" i="1"/>
  <c r="F621" i="1"/>
  <c r="F620" i="1"/>
  <c r="F619" i="1"/>
  <c r="F617" i="1"/>
  <c r="F616" i="1"/>
  <c r="F615" i="1"/>
  <c r="F614" i="1"/>
  <c r="E602" i="1" l="1"/>
  <c r="E589" i="1"/>
  <c r="E578" i="1"/>
  <c r="E571" i="1"/>
  <c r="E563" i="1"/>
  <c r="E557" i="1"/>
  <c r="E555" i="1"/>
  <c r="E527" i="1"/>
  <c r="E518" i="1"/>
  <c r="E514" i="1"/>
  <c r="E508" i="1"/>
  <c r="E494" i="1"/>
  <c r="E477" i="1"/>
  <c r="E475" i="1"/>
  <c r="E472" i="1"/>
  <c r="E467" i="1"/>
  <c r="G465" i="1"/>
  <c r="E464" i="1"/>
  <c r="E457" i="1"/>
  <c r="G456" i="1"/>
  <c r="E455" i="1"/>
  <c r="E448" i="1"/>
  <c r="G448" i="1" s="1"/>
  <c r="G447" i="1"/>
  <c r="G446" i="1"/>
  <c r="G445" i="1"/>
  <c r="G444" i="1"/>
  <c r="G443" i="1"/>
  <c r="E442" i="1"/>
  <c r="G438" i="1"/>
  <c r="G418" i="1"/>
  <c r="E417" i="1"/>
  <c r="G414" i="1"/>
  <c r="E413" i="1"/>
  <c r="G396" i="1"/>
  <c r="E395" i="1"/>
  <c r="G389" i="1"/>
  <c r="E388" i="1"/>
  <c r="G375" i="1"/>
  <c r="G374" i="1"/>
  <c r="G373" i="1"/>
  <c r="E372" i="1"/>
  <c r="G364" i="1"/>
  <c r="E363" i="1"/>
  <c r="G362" i="1"/>
  <c r="E361" i="1"/>
  <c r="G359" i="1"/>
  <c r="E358" i="1"/>
  <c r="G357" i="1"/>
  <c r="E356" i="1"/>
  <c r="G352" i="1"/>
  <c r="E351" i="1"/>
  <c r="G442" i="1" l="1"/>
  <c r="H442" i="1"/>
  <c r="G464" i="1"/>
  <c r="H464" i="1"/>
  <c r="G467" i="1"/>
  <c r="H467" i="1"/>
  <c r="G475" i="1"/>
  <c r="H475" i="1"/>
  <c r="G494" i="1"/>
  <c r="H494" i="1"/>
  <c r="G514" i="1"/>
  <c r="H514" i="1"/>
  <c r="G527" i="1"/>
  <c r="H527" i="1"/>
  <c r="G557" i="1"/>
  <c r="H557" i="1"/>
  <c r="G571" i="1"/>
  <c r="H571" i="1"/>
  <c r="G589" i="1"/>
  <c r="H589" i="1"/>
  <c r="G351" i="1"/>
  <c r="H351" i="1"/>
  <c r="G356" i="1"/>
  <c r="H356" i="1"/>
  <c r="G358" i="1"/>
  <c r="H358" i="1"/>
  <c r="G361" i="1"/>
  <c r="H361" i="1"/>
  <c r="G363" i="1"/>
  <c r="H363" i="1"/>
  <c r="G372" i="1"/>
  <c r="H372" i="1"/>
  <c r="G388" i="1"/>
  <c r="H388" i="1"/>
  <c r="G395" i="1"/>
  <c r="H395" i="1"/>
  <c r="G413" i="1"/>
  <c r="H413" i="1"/>
  <c r="G417" i="1"/>
  <c r="H417" i="1"/>
  <c r="G455" i="1"/>
  <c r="H455" i="1"/>
  <c r="G457" i="1"/>
  <c r="H457" i="1"/>
  <c r="G472" i="1"/>
  <c r="H472" i="1"/>
  <c r="G477" i="1"/>
  <c r="H477" i="1"/>
  <c r="G508" i="1"/>
  <c r="H508" i="1"/>
  <c r="G518" i="1"/>
  <c r="H518" i="1"/>
  <c r="G555" i="1"/>
  <c r="H555" i="1"/>
  <c r="G563" i="1"/>
  <c r="H563" i="1"/>
  <c r="G578" i="1"/>
  <c r="H578" i="1"/>
  <c r="G602" i="1"/>
  <c r="H602" i="1"/>
  <c r="D352" i="1"/>
  <c r="F352" i="1" s="1"/>
  <c r="D357" i="1"/>
  <c r="F357" i="1" s="1"/>
  <c r="D359" i="1"/>
  <c r="F359" i="1" s="1"/>
  <c r="D362" i="1"/>
  <c r="F362" i="1" s="1"/>
  <c r="D364" i="1"/>
  <c r="F364" i="1" s="1"/>
  <c r="D373" i="1"/>
  <c r="F373" i="1" s="1"/>
  <c r="D374" i="1"/>
  <c r="F374" i="1" s="1"/>
  <c r="D375" i="1"/>
  <c r="F375" i="1" s="1"/>
  <c r="D389" i="1"/>
  <c r="F389" i="1" s="1"/>
  <c r="D396" i="1"/>
  <c r="F396" i="1" s="1"/>
  <c r="D414" i="1"/>
  <c r="F414" i="1" s="1"/>
  <c r="D418" i="1"/>
  <c r="F418" i="1" s="1"/>
  <c r="D438" i="1"/>
  <c r="F438" i="1" s="1"/>
  <c r="D443" i="1"/>
  <c r="F443" i="1" s="1"/>
  <c r="D444" i="1"/>
  <c r="F444" i="1" s="1"/>
  <c r="D445" i="1"/>
  <c r="F445" i="1" s="1"/>
  <c r="D446" i="1"/>
  <c r="F446" i="1" s="1"/>
  <c r="D447" i="1"/>
  <c r="F447" i="1" s="1"/>
  <c r="D456" i="1"/>
  <c r="F456" i="1" s="1"/>
  <c r="D465" i="1"/>
  <c r="F465" i="1" s="1"/>
  <c r="F475" i="1"/>
  <c r="F476" i="1"/>
  <c r="F483" i="1"/>
  <c r="F484" i="1"/>
  <c r="F485" i="1"/>
  <c r="F486" i="1"/>
  <c r="F487" i="1"/>
  <c r="F488" i="1"/>
  <c r="F489" i="1"/>
  <c r="F490" i="1"/>
  <c r="F491" i="1"/>
  <c r="F492" i="1"/>
  <c r="F493" i="1"/>
  <c r="F497" i="1"/>
  <c r="F498" i="1"/>
  <c r="F499" i="1"/>
  <c r="F500" i="1"/>
  <c r="F501" i="1"/>
  <c r="F502" i="1"/>
  <c r="F503" i="1"/>
  <c r="F504" i="1"/>
  <c r="F505" i="1"/>
  <c r="F506" i="1"/>
  <c r="F507" i="1"/>
  <c r="F511" i="1"/>
  <c r="F512" i="1"/>
  <c r="F513" i="1"/>
  <c r="F524" i="1"/>
  <c r="F525" i="1"/>
  <c r="F526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9" i="1"/>
  <c r="F560" i="1"/>
  <c r="F561" i="1"/>
  <c r="F562" i="1"/>
  <c r="F568" i="1"/>
  <c r="F569" i="1"/>
  <c r="F570" i="1"/>
  <c r="F577" i="1"/>
  <c r="F580" i="1"/>
  <c r="F581" i="1"/>
  <c r="F582" i="1"/>
  <c r="F583" i="1"/>
  <c r="F584" i="1"/>
  <c r="F585" i="1"/>
  <c r="F586" i="1"/>
  <c r="F587" i="1"/>
  <c r="F588" i="1"/>
  <c r="F592" i="1"/>
  <c r="F593" i="1"/>
  <c r="F594" i="1"/>
  <c r="F595" i="1"/>
  <c r="F596" i="1"/>
  <c r="F597" i="1"/>
  <c r="F598" i="1"/>
  <c r="F599" i="1"/>
  <c r="F600" i="1"/>
  <c r="F601" i="1"/>
  <c r="F604" i="1"/>
  <c r="F609" i="1"/>
  <c r="F613" i="1" l="1"/>
  <c r="F612" i="1"/>
  <c r="F611" i="1"/>
  <c r="F610" i="1"/>
  <c r="F608" i="1"/>
  <c r="F607" i="1"/>
  <c r="F606" i="1"/>
  <c r="F605" i="1"/>
  <c r="F602" i="1"/>
  <c r="F589" i="1"/>
  <c r="F578" i="1"/>
  <c r="F571" i="1"/>
  <c r="F563" i="1"/>
  <c r="F557" i="1"/>
  <c r="F555" i="1"/>
  <c r="F527" i="1"/>
  <c r="F518" i="1"/>
  <c r="F514" i="1"/>
  <c r="F508" i="1"/>
  <c r="F496" i="1"/>
  <c r="F494" i="1"/>
  <c r="F477" i="1"/>
  <c r="F472" i="1"/>
  <c r="F471" i="1"/>
  <c r="F470" i="1"/>
  <c r="F467" i="1"/>
  <c r="F466" i="1"/>
  <c r="F464" i="1"/>
  <c r="F463" i="1"/>
  <c r="F462" i="1"/>
  <c r="F461" i="1"/>
  <c r="F460" i="1"/>
  <c r="F459" i="1"/>
  <c r="F458" i="1"/>
  <c r="F457" i="1"/>
  <c r="F455" i="1"/>
  <c r="F454" i="1"/>
  <c r="F453" i="1"/>
  <c r="F452" i="1"/>
  <c r="F451" i="1"/>
  <c r="F450" i="1"/>
  <c r="F449" i="1"/>
  <c r="D448" i="1"/>
  <c r="F448" i="1" s="1"/>
  <c r="F442" i="1"/>
  <c r="F441" i="1"/>
  <c r="F440" i="1"/>
  <c r="F439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7" i="1"/>
  <c r="F416" i="1"/>
  <c r="F415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5" i="1"/>
  <c r="F394" i="1"/>
  <c r="F393" i="1"/>
  <c r="F392" i="1"/>
  <c r="F391" i="1"/>
  <c r="F390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2" i="1"/>
  <c r="F371" i="1"/>
  <c r="F370" i="1"/>
  <c r="F369" i="1"/>
  <c r="F368" i="1"/>
  <c r="F367" i="1"/>
  <c r="F366" i="1"/>
  <c r="F365" i="1"/>
  <c r="F363" i="1"/>
  <c r="F361" i="1"/>
  <c r="F360" i="1"/>
  <c r="F358" i="1"/>
  <c r="F356" i="1"/>
  <c r="F355" i="1"/>
  <c r="F354" i="1"/>
  <c r="F353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G64" i="1" l="1"/>
  <c r="G58" i="1"/>
  <c r="G53" i="1"/>
  <c r="G40" i="1"/>
  <c r="G39" i="1"/>
  <c r="G36" i="1"/>
  <c r="G35" i="1"/>
  <c r="G32" i="1"/>
  <c r="G31" i="1"/>
  <c r="G24" i="1"/>
  <c r="G23" i="1"/>
  <c r="G22" i="1"/>
  <c r="G21" i="1"/>
  <c r="G20" i="1"/>
  <c r="G18" i="1"/>
  <c r="G16" i="1"/>
  <c r="G15" i="1"/>
  <c r="G11" i="1"/>
  <c r="G303" i="1"/>
  <c r="G298" i="1"/>
  <c r="G297" i="1"/>
  <c r="G296" i="1"/>
  <c r="G294" i="1"/>
  <c r="G293" i="1"/>
  <c r="G292" i="1"/>
  <c r="G291" i="1"/>
  <c r="G290" i="1"/>
  <c r="G287" i="1"/>
  <c r="G286" i="1"/>
  <c r="G282" i="1"/>
  <c r="G281" i="1"/>
  <c r="G280" i="1"/>
  <c r="G279" i="1"/>
  <c r="G278" i="1"/>
  <c r="G277" i="1"/>
  <c r="G276" i="1"/>
  <c r="G275" i="1"/>
  <c r="G274" i="1"/>
  <c r="G273" i="1"/>
  <c r="G269" i="1"/>
  <c r="G268" i="1"/>
  <c r="G267" i="1"/>
  <c r="G260" i="1"/>
  <c r="G259" i="1"/>
  <c r="G256" i="1"/>
  <c r="G251" i="1"/>
  <c r="G244" i="1"/>
  <c r="G240" i="1"/>
  <c r="G239" i="1"/>
  <c r="G229" i="1"/>
  <c r="G228" i="1"/>
  <c r="G227" i="1"/>
  <c r="G226" i="1"/>
  <c r="G225" i="1"/>
  <c r="G221" i="1"/>
  <c r="G220" i="1"/>
  <c r="G219" i="1"/>
  <c r="G218" i="1"/>
  <c r="G217" i="1"/>
  <c r="G215" i="1"/>
  <c r="G214" i="1"/>
  <c r="G213" i="1"/>
  <c r="G212" i="1"/>
  <c r="G211" i="1"/>
  <c r="G210" i="1"/>
  <c r="G209" i="1"/>
  <c r="G208" i="1"/>
  <c r="G193" i="1"/>
  <c r="G192" i="1"/>
  <c r="G183" i="1"/>
  <c r="G179" i="1"/>
  <c r="G169" i="1"/>
  <c r="G168" i="1"/>
  <c r="G167" i="1"/>
  <c r="G130" i="1"/>
  <c r="G124" i="1"/>
  <c r="G108" i="1"/>
  <c r="G107" i="1"/>
  <c r="G104" i="1"/>
  <c r="G103" i="1"/>
  <c r="G102" i="1"/>
  <c r="G86" i="1"/>
  <c r="G80" i="1"/>
  <c r="G78" i="1"/>
  <c r="F232" i="1" l="1"/>
  <c r="F236" i="1"/>
  <c r="D75" i="1" l="1"/>
  <c r="F75" i="1" s="1"/>
  <c r="F234" i="1"/>
  <c r="F73" i="1"/>
  <c r="D280" i="1"/>
  <c r="F280" i="1" s="1"/>
  <c r="F288" i="1"/>
  <c r="D296" i="1"/>
  <c r="F296" i="1" s="1"/>
  <c r="F304" i="1"/>
  <c r="D279" i="1"/>
  <c r="F279" i="1" s="1"/>
  <c r="D287" i="1"/>
  <c r="F287" i="1" s="1"/>
  <c r="D303" i="1"/>
  <c r="F303" i="1" s="1"/>
  <c r="F308" i="1"/>
  <c r="F312" i="1"/>
  <c r="F316" i="1"/>
  <c r="F320" i="1"/>
  <c r="F324" i="1"/>
  <c r="D278" i="1"/>
  <c r="F278" i="1" s="1"/>
  <c r="D286" i="1"/>
  <c r="F286" i="1" s="1"/>
  <c r="D294" i="1"/>
  <c r="F294" i="1" s="1"/>
  <c r="D277" i="1"/>
  <c r="F277" i="1" s="1"/>
  <c r="D293" i="1"/>
  <c r="F293" i="1" s="1"/>
  <c r="F301" i="1"/>
  <c r="F307" i="1"/>
  <c r="F311" i="1"/>
  <c r="F315" i="1"/>
  <c r="F319" i="1"/>
  <c r="F323" i="1"/>
  <c r="D276" i="1"/>
  <c r="F276" i="1" s="1"/>
  <c r="F284" i="1"/>
  <c r="D292" i="1"/>
  <c r="F292" i="1" s="1"/>
  <c r="F300" i="1"/>
  <c r="D275" i="1"/>
  <c r="F275" i="1" s="1"/>
  <c r="F283" i="1"/>
  <c r="D291" i="1"/>
  <c r="F291" i="1" s="1"/>
  <c r="F299" i="1"/>
  <c r="F306" i="1"/>
  <c r="F310" i="1"/>
  <c r="F314" i="1"/>
  <c r="F318" i="1"/>
  <c r="F322" i="1"/>
  <c r="D274" i="1"/>
  <c r="F274" i="1" s="1"/>
  <c r="D282" i="1"/>
  <c r="F282" i="1" s="1"/>
  <c r="D290" i="1"/>
  <c r="F290" i="1" s="1"/>
  <c r="D298" i="1"/>
  <c r="F298" i="1" s="1"/>
  <c r="D273" i="1"/>
  <c r="F273" i="1" s="1"/>
  <c r="D281" i="1"/>
  <c r="F281" i="1" s="1"/>
  <c r="D297" i="1"/>
  <c r="F297" i="1" s="1"/>
  <c r="F305" i="1"/>
  <c r="F309" i="1"/>
  <c r="F313" i="1"/>
  <c r="F317" i="1"/>
  <c r="F321" i="1"/>
  <c r="F325" i="1"/>
  <c r="F113" i="1"/>
  <c r="F121" i="1"/>
  <c r="F136" i="1"/>
  <c r="F140" i="1"/>
  <c r="F144" i="1"/>
  <c r="F148" i="1"/>
  <c r="F152" i="1"/>
  <c r="D192" i="1"/>
  <c r="F192" i="1" s="1"/>
  <c r="F196" i="1"/>
  <c r="F200" i="1"/>
  <c r="F204" i="1"/>
  <c r="D208" i="1"/>
  <c r="F208" i="1" s="1"/>
  <c r="D212" i="1"/>
  <c r="F212" i="1" s="1"/>
  <c r="D220" i="1"/>
  <c r="F220" i="1" s="1"/>
  <c r="D228" i="1"/>
  <c r="F228" i="1" s="1"/>
  <c r="F254" i="1"/>
  <c r="F156" i="1"/>
  <c r="F160" i="1"/>
  <c r="F119" i="1"/>
  <c r="F127" i="1"/>
  <c r="F135" i="1"/>
  <c r="F139" i="1"/>
  <c r="F143" i="1"/>
  <c r="F147" i="1"/>
  <c r="F151" i="1"/>
  <c r="D251" i="1"/>
  <c r="F251" i="1" s="1"/>
  <c r="D259" i="1"/>
  <c r="F259" i="1" s="1"/>
  <c r="F120" i="1"/>
  <c r="F128" i="1"/>
  <c r="F162" i="1"/>
  <c r="F170" i="1"/>
  <c r="F186" i="1"/>
  <c r="F157" i="1"/>
  <c r="F165" i="1"/>
  <c r="F173" i="1"/>
  <c r="F181" i="1"/>
  <c r="F189" i="1"/>
  <c r="D211" i="1"/>
  <c r="F211" i="1" s="1"/>
  <c r="D219" i="1"/>
  <c r="F219" i="1" s="1"/>
  <c r="D227" i="1"/>
  <c r="F227" i="1" s="1"/>
  <c r="F241" i="1"/>
  <c r="F245" i="1"/>
  <c r="F249" i="1"/>
  <c r="F263" i="1"/>
  <c r="F271" i="1"/>
  <c r="F118" i="1"/>
  <c r="F126" i="1"/>
  <c r="F134" i="1"/>
  <c r="D168" i="1"/>
  <c r="F168" i="1" s="1"/>
  <c r="F176" i="1"/>
  <c r="F155" i="1"/>
  <c r="F163" i="1"/>
  <c r="F171" i="1"/>
  <c r="D179" i="1"/>
  <c r="F179" i="1" s="1"/>
  <c r="F187" i="1"/>
  <c r="D193" i="1"/>
  <c r="F193" i="1" s="1"/>
  <c r="F197" i="1"/>
  <c r="F201" i="1"/>
  <c r="F205" i="1"/>
  <c r="D213" i="1"/>
  <c r="F213" i="1" s="1"/>
  <c r="D221" i="1"/>
  <c r="F221" i="1" s="1"/>
  <c r="D229" i="1"/>
  <c r="F229" i="1" s="1"/>
  <c r="F242" i="1"/>
  <c r="F246" i="1"/>
  <c r="D268" i="1"/>
  <c r="F268" i="1" s="1"/>
  <c r="F265" i="1"/>
  <c r="F117" i="1"/>
  <c r="F125" i="1"/>
  <c r="F133" i="1"/>
  <c r="F138" i="1"/>
  <c r="F142" i="1"/>
  <c r="F146" i="1"/>
  <c r="F150" i="1"/>
  <c r="F154" i="1"/>
  <c r="F194" i="1"/>
  <c r="F198" i="1"/>
  <c r="F202" i="1"/>
  <c r="F206" i="1"/>
  <c r="D210" i="1"/>
  <c r="F210" i="1" s="1"/>
  <c r="D214" i="1"/>
  <c r="F214" i="1" s="1"/>
  <c r="D218" i="1"/>
  <c r="F218" i="1" s="1"/>
  <c r="F222" i="1"/>
  <c r="D226" i="1"/>
  <c r="F226" i="1" s="1"/>
  <c r="F252" i="1"/>
  <c r="D256" i="1"/>
  <c r="F256" i="1" s="1"/>
  <c r="D260" i="1"/>
  <c r="F260" i="1" s="1"/>
  <c r="F158" i="1"/>
  <c r="F114" i="1"/>
  <c r="F131" i="1"/>
  <c r="F137" i="1"/>
  <c r="F141" i="1"/>
  <c r="F145" i="1"/>
  <c r="F149" i="1"/>
  <c r="F153" i="1"/>
  <c r="F253" i="1"/>
  <c r="F257" i="1"/>
  <c r="F116" i="1"/>
  <c r="D124" i="1"/>
  <c r="F124" i="1" s="1"/>
  <c r="F132" i="1"/>
  <c r="F174" i="1"/>
  <c r="F190" i="1"/>
  <c r="F161" i="1"/>
  <c r="D169" i="1"/>
  <c r="F169" i="1" s="1"/>
  <c r="F177" i="1"/>
  <c r="D185" i="1"/>
  <c r="F185" i="1" s="1"/>
  <c r="D215" i="1"/>
  <c r="F215" i="1" s="1"/>
  <c r="F223" i="1"/>
  <c r="D239" i="1"/>
  <c r="F239" i="1" s="1"/>
  <c r="F247" i="1"/>
  <c r="F262" i="1"/>
  <c r="F270" i="1"/>
  <c r="D267" i="1"/>
  <c r="F267" i="1" s="1"/>
  <c r="F115" i="1"/>
  <c r="F122" i="1"/>
  <c r="D130" i="1"/>
  <c r="F130" i="1" s="1"/>
  <c r="F164" i="1"/>
  <c r="F172" i="1"/>
  <c r="F180" i="1"/>
  <c r="F188" i="1"/>
  <c r="F159" i="1"/>
  <c r="D167" i="1"/>
  <c r="F167" i="1" s="1"/>
  <c r="F175" i="1"/>
  <c r="D183" i="1"/>
  <c r="F183" i="1" s="1"/>
  <c r="F195" i="1"/>
  <c r="F199" i="1"/>
  <c r="F203" i="1"/>
  <c r="D209" i="1"/>
  <c r="F209" i="1" s="1"/>
  <c r="D217" i="1"/>
  <c r="F217" i="1" s="1"/>
  <c r="D225" i="1"/>
  <c r="F225" i="1" s="1"/>
  <c r="D240" i="1"/>
  <c r="F240" i="1" s="1"/>
  <c r="D244" i="1"/>
  <c r="F244" i="1" s="1"/>
  <c r="F248" i="1"/>
  <c r="F264" i="1"/>
  <c r="F261" i="1"/>
  <c r="D269" i="1"/>
  <c r="F269" i="1" s="1"/>
  <c r="F231" i="1"/>
  <c r="F233" i="1"/>
  <c r="F235" i="1"/>
  <c r="F237" i="1"/>
  <c r="F230" i="1"/>
  <c r="D107" i="1"/>
  <c r="F107" i="1" s="1"/>
  <c r="F111" i="1"/>
  <c r="F94" i="1"/>
  <c r="F98" i="1"/>
  <c r="D102" i="1"/>
  <c r="F102" i="1" s="1"/>
  <c r="F110" i="1"/>
  <c r="F45" i="1"/>
  <c r="F95" i="1"/>
  <c r="F99" i="1"/>
  <c r="D103" i="1"/>
  <c r="F103" i="1" s="1"/>
  <c r="F42" i="1"/>
  <c r="F82" i="1"/>
  <c r="D86" i="1"/>
  <c r="F86" i="1" s="1"/>
  <c r="F90" i="1"/>
  <c r="F81" i="1"/>
  <c r="F89" i="1"/>
  <c r="F105" i="1"/>
  <c r="F109" i="1"/>
  <c r="F92" i="1"/>
  <c r="F96" i="1"/>
  <c r="F100" i="1"/>
  <c r="D104" i="1"/>
  <c r="F104" i="1" s="1"/>
  <c r="D108" i="1"/>
  <c r="F108" i="1" s="1"/>
  <c r="F47" i="1"/>
  <c r="F93" i="1"/>
  <c r="F97" i="1"/>
  <c r="F43" i="1"/>
  <c r="D80" i="1"/>
  <c r="F80" i="1" s="1"/>
  <c r="F84" i="1"/>
  <c r="F88" i="1"/>
  <c r="F112" i="1"/>
  <c r="F83" i="1"/>
  <c r="F87" i="1"/>
  <c r="F91" i="1"/>
  <c r="D64" i="1"/>
  <c r="F64" i="1" s="1"/>
  <c r="F66" i="1"/>
  <c r="F68" i="1"/>
  <c r="F70" i="1"/>
  <c r="F72" i="1"/>
  <c r="F76" i="1"/>
  <c r="D78" i="1"/>
  <c r="F78" i="1" s="1"/>
  <c r="F51" i="1"/>
  <c r="F55" i="1"/>
  <c r="F59" i="1"/>
  <c r="F61" i="1"/>
  <c r="F49" i="1"/>
  <c r="D53" i="1"/>
  <c r="F53" i="1" s="1"/>
  <c r="F44" i="1"/>
  <c r="F65" i="1"/>
  <c r="F67" i="1"/>
  <c r="F69" i="1"/>
  <c r="F71" i="1"/>
  <c r="F48" i="1"/>
  <c r="F56" i="1"/>
  <c r="F60" i="1"/>
  <c r="F41" i="1"/>
  <c r="F46" i="1"/>
  <c r="F50" i="1"/>
  <c r="F54" i="1"/>
  <c r="D58" i="1"/>
  <c r="F58" i="1" s="1"/>
  <c r="F62" i="1"/>
  <c r="D40" i="1"/>
  <c r="F40" i="1" s="1"/>
  <c r="D39" i="1"/>
  <c r="F39" i="1" s="1"/>
  <c r="F37" i="1"/>
  <c r="D36" i="1"/>
  <c r="F36" i="1" s="1"/>
  <c r="D35" i="1"/>
  <c r="F35" i="1" s="1"/>
  <c r="F33" i="1"/>
  <c r="D32" i="1"/>
  <c r="F32" i="1" s="1"/>
  <c r="D31" i="1"/>
  <c r="F31" i="1" s="1"/>
  <c r="F29" i="1"/>
  <c r="F28" i="1"/>
  <c r="D27" i="1"/>
  <c r="F27" i="1" s="1"/>
  <c r="D26" i="1"/>
  <c r="F26" i="1" s="1"/>
  <c r="D22" i="1"/>
  <c r="F22" i="1" s="1"/>
  <c r="D20" i="1"/>
  <c r="F20" i="1" s="1"/>
  <c r="D21" i="1"/>
  <c r="F21" i="1" s="1"/>
  <c r="D23" i="1"/>
  <c r="F23" i="1" s="1"/>
  <c r="D24" i="1"/>
  <c r="F24" i="1" s="1"/>
  <c r="D18" i="1"/>
  <c r="F18" i="1" s="1"/>
  <c r="D16" i="1"/>
  <c r="F16" i="1" s="1"/>
  <c r="D15" i="1"/>
  <c r="F15" i="1" s="1"/>
  <c r="D11" i="1"/>
  <c r="F11" i="1" s="1"/>
  <c r="F13" i="1"/>
  <c r="F12" i="1"/>
  <c r="F9" i="1"/>
  <c r="E302" i="1" l="1"/>
  <c r="E295" i="1"/>
  <c r="E25" i="1"/>
  <c r="E101" i="1"/>
  <c r="E207" i="1"/>
  <c r="E224" i="1"/>
  <c r="E289" i="1"/>
  <c r="E285" i="1"/>
  <c r="E272" i="1"/>
  <c r="E266" i="1"/>
  <c r="E258" i="1"/>
  <c r="E255" i="1"/>
  <c r="E250" i="1"/>
  <c r="E243" i="1"/>
  <c r="E238" i="1"/>
  <c r="G243" i="1" l="1"/>
  <c r="H243" i="1"/>
  <c r="G255" i="1"/>
  <c r="H255" i="1"/>
  <c r="G266" i="1"/>
  <c r="H266" i="1"/>
  <c r="G285" i="1"/>
  <c r="H285" i="1"/>
  <c r="G224" i="1"/>
  <c r="H224" i="1"/>
  <c r="G101" i="1"/>
  <c r="H101" i="1"/>
  <c r="G295" i="1"/>
  <c r="H295" i="1"/>
  <c r="G238" i="1"/>
  <c r="H238" i="1"/>
  <c r="G250" i="1"/>
  <c r="H250" i="1"/>
  <c r="G258" i="1"/>
  <c r="H258" i="1"/>
  <c r="G272" i="1"/>
  <c r="H272" i="1"/>
  <c r="G289" i="1"/>
  <c r="H289" i="1"/>
  <c r="G207" i="1"/>
  <c r="H207" i="1"/>
  <c r="H208" i="1"/>
  <c r="G25" i="1"/>
  <c r="H25" i="1"/>
  <c r="G302" i="1"/>
  <c r="H302" i="1"/>
  <c r="F238" i="1"/>
  <c r="F250" i="1"/>
  <c r="F258" i="1"/>
  <c r="F243" i="1"/>
  <c r="F255" i="1"/>
  <c r="F266" i="1"/>
  <c r="F285" i="1"/>
  <c r="F224" i="1"/>
  <c r="F101" i="1"/>
  <c r="F295" i="1"/>
  <c r="F272" i="1"/>
  <c r="F289" i="1"/>
  <c r="F207" i="1"/>
  <c r="F25" i="1"/>
  <c r="F302" i="1"/>
  <c r="E216" i="1"/>
  <c r="E191" i="1"/>
  <c r="E184" i="1"/>
  <c r="E182" i="1"/>
  <c r="E178" i="1"/>
  <c r="E166" i="1"/>
  <c r="E129" i="1"/>
  <c r="E123" i="1"/>
  <c r="E106" i="1"/>
  <c r="E85" i="1"/>
  <c r="E79" i="1"/>
  <c r="E77" i="1"/>
  <c r="E74" i="1"/>
  <c r="E63" i="1"/>
  <c r="E57" i="1"/>
  <c r="E52" i="1"/>
  <c r="E38" i="1"/>
  <c r="E34" i="1"/>
  <c r="E30" i="1"/>
  <c r="E19" i="1"/>
  <c r="E17" i="1"/>
  <c r="E14" i="1"/>
  <c r="E10" i="1"/>
  <c r="G14" i="1" l="1"/>
  <c r="H14" i="1"/>
  <c r="G19" i="1"/>
  <c r="H20" i="1"/>
  <c r="H19" i="1"/>
  <c r="G34" i="1"/>
  <c r="H34" i="1"/>
  <c r="G52" i="1"/>
  <c r="H52" i="1"/>
  <c r="G63" i="1"/>
  <c r="H63" i="1"/>
  <c r="G77" i="1"/>
  <c r="H77" i="1"/>
  <c r="G85" i="1"/>
  <c r="H85" i="1"/>
  <c r="G123" i="1"/>
  <c r="H123" i="1"/>
  <c r="G166" i="1"/>
  <c r="H166" i="1"/>
  <c r="G182" i="1"/>
  <c r="H182" i="1"/>
  <c r="G191" i="1"/>
  <c r="H191" i="1"/>
  <c r="G10" i="1"/>
  <c r="H10" i="1"/>
  <c r="G17" i="1"/>
  <c r="H17" i="1"/>
  <c r="G30" i="1"/>
  <c r="H30" i="1"/>
  <c r="G38" i="1"/>
  <c r="H38" i="1"/>
  <c r="G57" i="1"/>
  <c r="H57" i="1"/>
  <c r="G74" i="1"/>
  <c r="H74" i="1"/>
  <c r="G79" i="1"/>
  <c r="H79" i="1"/>
  <c r="G106" i="1"/>
  <c r="H106" i="1"/>
  <c r="G129" i="1"/>
  <c r="H129" i="1"/>
  <c r="G178" i="1"/>
  <c r="H178" i="1"/>
  <c r="G184" i="1"/>
  <c r="H184" i="1"/>
  <c r="G216" i="1"/>
  <c r="H216" i="1"/>
  <c r="F10" i="1"/>
  <c r="F14" i="1"/>
  <c r="F19" i="1"/>
  <c r="F34" i="1"/>
  <c r="F52" i="1"/>
  <c r="F63" i="1"/>
  <c r="F77" i="1"/>
  <c r="F85" i="1"/>
  <c r="F123" i="1"/>
  <c r="F166" i="1"/>
  <c r="F182" i="1"/>
  <c r="F191" i="1"/>
  <c r="F17" i="1"/>
  <c r="F30" i="1"/>
  <c r="F38" i="1"/>
  <c r="F57" i="1"/>
  <c r="F74" i="1"/>
  <c r="F79" i="1"/>
  <c r="F106" i="1"/>
  <c r="F129" i="1"/>
  <c r="F178" i="1"/>
  <c r="F184" i="1"/>
  <c r="F216" i="1"/>
  <c r="F8" i="1" l="1"/>
</calcChain>
</file>

<file path=xl/sharedStrings.xml><?xml version="1.0" encoding="utf-8"?>
<sst xmlns="http://schemas.openxmlformats.org/spreadsheetml/2006/main" count="1580" uniqueCount="890">
  <si>
    <t>Адреса</t>
  </si>
  <si>
    <t>№ з/п</t>
  </si>
  <si>
    <t>Бандери, 51/1</t>
  </si>
  <si>
    <t>Тип теплового лічильника</t>
  </si>
  <si>
    <t>Бажана, 16</t>
  </si>
  <si>
    <t>Б.Хмельницького, 6</t>
  </si>
  <si>
    <t xml:space="preserve">ULTRAHEAT  Ø 80 </t>
  </si>
  <si>
    <t>Бандери, 18/2</t>
  </si>
  <si>
    <t>Бандери, 16</t>
  </si>
  <si>
    <t>Бандери, 18/1</t>
  </si>
  <si>
    <t>Бандери, 20/1</t>
  </si>
  <si>
    <t>Бандери, 22</t>
  </si>
  <si>
    <t>ULTRAHEAT  Ø 65</t>
  </si>
  <si>
    <t>РоlluStatEX  Ø 65</t>
  </si>
  <si>
    <t>SHARKY  Ø 50</t>
  </si>
  <si>
    <t xml:space="preserve">ULTRAHEAT  Ø 40 </t>
  </si>
  <si>
    <t>ULTRAHEAT  Ø 50</t>
  </si>
  <si>
    <t>Бандери, 22/1</t>
  </si>
  <si>
    <t>SHARKY  Ø 25</t>
  </si>
  <si>
    <t>РоlluStat  Ø 40</t>
  </si>
  <si>
    <t xml:space="preserve">ULTRAHEAT  Ø 25 </t>
  </si>
  <si>
    <t>Бандери, 24</t>
  </si>
  <si>
    <t>Бандери, 5</t>
  </si>
  <si>
    <t>Бандери, 53</t>
  </si>
  <si>
    <t>SHARKY  Ø 40</t>
  </si>
  <si>
    <t>Бандери, 6</t>
  </si>
  <si>
    <t>Бандери, 9</t>
  </si>
  <si>
    <t xml:space="preserve">MULTIDATA Ø 40 </t>
  </si>
  <si>
    <t>Болбочана, 4</t>
  </si>
  <si>
    <t>Вайсера, 15</t>
  </si>
  <si>
    <t>Вайсера, 28</t>
  </si>
  <si>
    <t>Вайсера, 4</t>
  </si>
  <si>
    <t>Вайсера, 79</t>
  </si>
  <si>
    <t>Водопровідна, 20</t>
  </si>
  <si>
    <t>Водопровідна, 28/2</t>
  </si>
  <si>
    <t>SHARKY 775   Ø 50</t>
  </si>
  <si>
    <t>Водопровідна, 41</t>
  </si>
  <si>
    <t>Водоровідна, 42</t>
  </si>
  <si>
    <t>Водоровідна, 42/1</t>
  </si>
  <si>
    <t>Суперком-01 Ø 50</t>
  </si>
  <si>
    <t>Pollutherm Ø 40</t>
  </si>
  <si>
    <t>Водоровідна, 44/1</t>
  </si>
  <si>
    <t>Водоровідна, 45</t>
  </si>
  <si>
    <t xml:space="preserve">MULTICAL-UF Ø 25 </t>
  </si>
  <si>
    <t>Водоровідна, 57</t>
  </si>
  <si>
    <t>SHARKY VMT   Ø 65</t>
  </si>
  <si>
    <t>Водоровідна, 86</t>
  </si>
  <si>
    <t>Володимирська, 105</t>
  </si>
  <si>
    <t>Володимирська, 110</t>
  </si>
  <si>
    <t>ULTRAHEAT  Ø 40</t>
  </si>
  <si>
    <t>Володимирська, 65</t>
  </si>
  <si>
    <t>Володимирська, 71</t>
  </si>
  <si>
    <t>Володимирська, 78</t>
  </si>
  <si>
    <t>Володимирська, 80</t>
  </si>
  <si>
    <t>Володимирська, 83</t>
  </si>
  <si>
    <t>Володимирська, 87/1</t>
  </si>
  <si>
    <t xml:space="preserve">Г.Сковороди, 11/2 </t>
  </si>
  <si>
    <t>SHARKY  Ø 20</t>
  </si>
  <si>
    <t>SHARKY  Ø 32</t>
  </si>
  <si>
    <t>SHARKY  775   Ø 50</t>
  </si>
  <si>
    <t>SHARKY  Ø 65</t>
  </si>
  <si>
    <t>Г.Сковороди, 46</t>
  </si>
  <si>
    <t>Г.Сковороди, 8</t>
  </si>
  <si>
    <t>Г.Сковороди, 9</t>
  </si>
  <si>
    <t>Г.Сковороди, 9/1</t>
  </si>
  <si>
    <t>Г.Сковороди, 9/3</t>
  </si>
  <si>
    <t>Г.Сковороди, 9/43 А</t>
  </si>
  <si>
    <t>Гагаріна, 1</t>
  </si>
  <si>
    <t>Гагаріна, 11</t>
  </si>
  <si>
    <t>Гагаріна, 13</t>
  </si>
  <si>
    <t>Гагаріна, 13/1</t>
  </si>
  <si>
    <t>Гагаріна, 18/1</t>
  </si>
  <si>
    <t>Гагаріна, 20</t>
  </si>
  <si>
    <t>Гагаріна, 23/1</t>
  </si>
  <si>
    <t>Гагаріна, 25</t>
  </si>
  <si>
    <t>Гагаріна, 32</t>
  </si>
  <si>
    <t>Гагаріна, 32/1</t>
  </si>
  <si>
    <t>Гагаріна, 34</t>
  </si>
  <si>
    <t>Суперком-01   Ø 40</t>
  </si>
  <si>
    <t>Гагаріна, 9</t>
  </si>
  <si>
    <t>Гайова, 8</t>
  </si>
  <si>
    <t>Гальчевського, 27/1</t>
  </si>
  <si>
    <t>Гальчевського, 27/2</t>
  </si>
  <si>
    <t>Гарнізонна, 2</t>
  </si>
  <si>
    <t>АКВА-МВТ-2М  Ø 50</t>
  </si>
  <si>
    <t>Гарнізонна, 4</t>
  </si>
  <si>
    <t xml:space="preserve">SONOHEAT-T  Ø 40 </t>
  </si>
  <si>
    <t>Гарнізонна, 6</t>
  </si>
  <si>
    <t>Гарнізонна, 6/1</t>
  </si>
  <si>
    <t>Гарнізонна, 6/2</t>
  </si>
  <si>
    <t>Гарнізонна, 8</t>
  </si>
  <si>
    <t>LQM-III(APATOR) Ø 50</t>
  </si>
  <si>
    <t>Гастелло, 10/1</t>
  </si>
  <si>
    <t>Гастелло, 10/2</t>
  </si>
  <si>
    <t>Гастелло, 10/3</t>
  </si>
  <si>
    <t>Гастелло, 10/4</t>
  </si>
  <si>
    <t>Гастелло, 10/5</t>
  </si>
  <si>
    <t>Гастелло, 14</t>
  </si>
  <si>
    <t>Гастелло, 16</t>
  </si>
  <si>
    <t>Гастелло, 18</t>
  </si>
  <si>
    <t>Гастелло, 6/1</t>
  </si>
  <si>
    <t xml:space="preserve">ULTRAHEAT  Ø 50 </t>
  </si>
  <si>
    <t>Гастелло, 20</t>
  </si>
  <si>
    <t>Героїв Майдану, 1</t>
  </si>
  <si>
    <t>Героїв Майдану, 2</t>
  </si>
  <si>
    <t xml:space="preserve">Героїв Майдану, 17/1  </t>
  </si>
  <si>
    <t>Героїв Майдану, 24</t>
  </si>
  <si>
    <t>Героїв Майдану, 42/1</t>
  </si>
  <si>
    <t>Героїв Майдану, 46</t>
  </si>
  <si>
    <t>Героїв Майдану, 46/1</t>
  </si>
  <si>
    <t>Героїв Майдану, 5А</t>
  </si>
  <si>
    <t>Герцена, 3</t>
  </si>
  <si>
    <t>Герцена, 5</t>
  </si>
  <si>
    <t>Горького, 20</t>
  </si>
  <si>
    <t xml:space="preserve">MULTIDATA  WR3 Ø 50 </t>
  </si>
  <si>
    <t>Госпітальна, 2</t>
  </si>
  <si>
    <t>Госпітальна, 6/1</t>
  </si>
  <si>
    <t>Госпітальна, 6/2</t>
  </si>
  <si>
    <t>Госпітальна, 6/3</t>
  </si>
  <si>
    <t>Гречка, 1</t>
  </si>
  <si>
    <t>SHARKY  775   Ø 65</t>
  </si>
  <si>
    <t>Гречка, 10/1</t>
  </si>
  <si>
    <t>SHARKY   Ø 80</t>
  </si>
  <si>
    <t>Гречка, 10/2</t>
  </si>
  <si>
    <t>Гречка, 10/3</t>
  </si>
  <si>
    <t>Гречка, 12</t>
  </si>
  <si>
    <t>Гречка, 12/1</t>
  </si>
  <si>
    <t>Гречка, 14</t>
  </si>
  <si>
    <t xml:space="preserve">Довженка, 12 </t>
  </si>
  <si>
    <t>Довженка, 14</t>
  </si>
  <si>
    <t xml:space="preserve">МВТ-2ММК Ø 50 </t>
  </si>
  <si>
    <t>Довженка, 16</t>
  </si>
  <si>
    <t>Довженка, 16/2</t>
  </si>
  <si>
    <t>Supercal-531 Ø 50</t>
  </si>
  <si>
    <t>Довженка, 5/1</t>
  </si>
  <si>
    <t>Довженка, 7</t>
  </si>
  <si>
    <t>Довженка, 10/1</t>
  </si>
  <si>
    <t xml:space="preserve">MULTIDATA  Ø 65 </t>
  </si>
  <si>
    <t>Довженка, 14/2</t>
  </si>
  <si>
    <t>Європейська, 3</t>
  </si>
  <si>
    <t>Завадського, 5</t>
  </si>
  <si>
    <t>Завадського, 64/2</t>
  </si>
  <si>
    <t>SHARKY  Ø 80</t>
  </si>
  <si>
    <t>Заводська, 26</t>
  </si>
  <si>
    <t>Заводська, 28</t>
  </si>
  <si>
    <t>Заводська, 29</t>
  </si>
  <si>
    <t>Заводська, 32</t>
  </si>
  <si>
    <t>Заводська, 38/1</t>
  </si>
  <si>
    <t>SHARKY  775   Ø 40</t>
  </si>
  <si>
    <t>Заводська, 61</t>
  </si>
  <si>
    <t>Заводська, 61/1</t>
  </si>
  <si>
    <t>Заводська, 61/2</t>
  </si>
  <si>
    <t>Заводська, 63</t>
  </si>
  <si>
    <t>Заводська, 63/1</t>
  </si>
  <si>
    <t>Залізняка, 10</t>
  </si>
  <si>
    <t xml:space="preserve">Горинь-1 Ø 65 </t>
  </si>
  <si>
    <t>SHARKY  Ø 100</t>
  </si>
  <si>
    <t>Залізняка, 14/2</t>
  </si>
  <si>
    <t>SHARKY  775   Ø 80</t>
  </si>
  <si>
    <t>Залізняка, 16</t>
  </si>
  <si>
    <t>ULTRAHEAT  Ø 100</t>
  </si>
  <si>
    <t>Залізняка, 20</t>
  </si>
  <si>
    <t>Залізняка, 20/1</t>
  </si>
  <si>
    <t>УСЬОГО планових витрат       (з ПДВ), на рік</t>
  </si>
  <si>
    <t>Supercal-430  Ø 40</t>
  </si>
  <si>
    <t>Залізняка, 22</t>
  </si>
  <si>
    <t>Залізняка, 30</t>
  </si>
  <si>
    <t>Залізняка, 34</t>
  </si>
  <si>
    <t>CALMEX Ø 50</t>
  </si>
  <si>
    <t>Залізняка, 34/1</t>
  </si>
  <si>
    <t>INFOCAL 5                     (SONOMETER)Ø 40</t>
  </si>
  <si>
    <t>Залізняка, 36</t>
  </si>
  <si>
    <t>Зарічанська, 12</t>
  </si>
  <si>
    <t>Зарічанська, 14</t>
  </si>
  <si>
    <t>Зарічанська, 14/2</t>
  </si>
  <si>
    <t xml:space="preserve">Зарічанська, 14/1 </t>
  </si>
  <si>
    <t>Зарічанська, 14/3</t>
  </si>
  <si>
    <t>Зарічанська, 14/4</t>
  </si>
  <si>
    <t>Зарічанська, 16</t>
  </si>
  <si>
    <t xml:space="preserve">Зарічанська, 18/1 </t>
  </si>
  <si>
    <t xml:space="preserve">MULTIDATA Ø 65 </t>
  </si>
  <si>
    <t>Зарічанська, 18/1 А</t>
  </si>
  <si>
    <t>Зарічанська, 18/2</t>
  </si>
  <si>
    <t>Supercal-531 Ø 65</t>
  </si>
  <si>
    <t>Зарічанська, 2</t>
  </si>
  <si>
    <t>Зарічанська, 20/2</t>
  </si>
  <si>
    <t>Зарічанська, 22</t>
  </si>
  <si>
    <t>Зарічанська, 22/1</t>
  </si>
  <si>
    <t>Зарічанська, 22/2</t>
  </si>
  <si>
    <t>Зарічанська, 22/4</t>
  </si>
  <si>
    <t>Зарічанська, 24/2</t>
  </si>
  <si>
    <t>Зарічанська, 30</t>
  </si>
  <si>
    <t>SHARKY  VMT Ø 65</t>
  </si>
  <si>
    <t>Зарічанська, 32/1</t>
  </si>
  <si>
    <t>Зарічанська, 34/1</t>
  </si>
  <si>
    <t>Зарічанська, 36/2</t>
  </si>
  <si>
    <t>Зарічанська, 4</t>
  </si>
  <si>
    <t>Зарічанська, 40</t>
  </si>
  <si>
    <t>Зарічанська, 44</t>
  </si>
  <si>
    <t>Зарічанська, 50</t>
  </si>
  <si>
    <t>Зарічанська, 50/1</t>
  </si>
  <si>
    <t>Зарічанська, 52/2</t>
  </si>
  <si>
    <t>Зарічанська, 52/1</t>
  </si>
  <si>
    <t>Горинь-1    Ø 50</t>
  </si>
  <si>
    <t xml:space="preserve">MULTIDATA   Ø 40 </t>
  </si>
  <si>
    <t>Supercal-430   Ø 40</t>
  </si>
  <si>
    <t>Зарічанська, 6</t>
  </si>
  <si>
    <t>Зарічанська, 6/1</t>
  </si>
  <si>
    <t>Зарічанська, 6/2</t>
  </si>
  <si>
    <t>Зарічанська, 6/3</t>
  </si>
  <si>
    <t>Зарічанська, 6/4</t>
  </si>
  <si>
    <t>Зарічанська, 6/5</t>
  </si>
  <si>
    <t>SHARKY   Ø 65</t>
  </si>
  <si>
    <t>Зарічанська, 6/6</t>
  </si>
  <si>
    <t>Зарічанська, 8</t>
  </si>
  <si>
    <t>Зарічанська, 8/1</t>
  </si>
  <si>
    <t>Інститутська, 15/1</t>
  </si>
  <si>
    <t>SHARKY INT 8  Ø 50</t>
  </si>
  <si>
    <t>Кам`янецька, 101</t>
  </si>
  <si>
    <t>Кам`янецька, 118</t>
  </si>
  <si>
    <t>Кам`янецька, 120</t>
  </si>
  <si>
    <t>Кам`янецька, 122</t>
  </si>
  <si>
    <t>Кам`янецька, 124</t>
  </si>
  <si>
    <t>Кам`янецька, 13</t>
  </si>
  <si>
    <t>Кам`янецька, 147</t>
  </si>
  <si>
    <t>Кам`янецька, 149</t>
  </si>
  <si>
    <t>Кам`янецька, 157</t>
  </si>
  <si>
    <t>Кам`янецька, 169</t>
  </si>
  <si>
    <t>Supercal-430   Ø 50</t>
  </si>
  <si>
    <t xml:space="preserve">MULTIDATA WR  Ø 40 </t>
  </si>
  <si>
    <t>Кам`янецька, 38</t>
  </si>
  <si>
    <t>Кам`янецька, 45</t>
  </si>
  <si>
    <t>Кам`янецька, 47</t>
  </si>
  <si>
    <t>CALMEX-N2  Ø 32</t>
  </si>
  <si>
    <t>Кам`янецька, 50</t>
  </si>
  <si>
    <t>Кам`янецька, 54</t>
  </si>
  <si>
    <t>Кам`янецька, 56</t>
  </si>
  <si>
    <t>Кам`янецька, 60</t>
  </si>
  <si>
    <t>Кам`янецька, 52/1</t>
  </si>
  <si>
    <t>Кам`янецька, 52/2</t>
  </si>
  <si>
    <t>Кам`янецька, 60/2</t>
  </si>
  <si>
    <t>Кам`янецька, 64</t>
  </si>
  <si>
    <t>Кам`янецька, 65</t>
  </si>
  <si>
    <t>Кам`янецька, 68</t>
  </si>
  <si>
    <t>Кам`янецька, 69</t>
  </si>
  <si>
    <t>Кам`янецька, 71</t>
  </si>
  <si>
    <t>Кам`янецька, 72</t>
  </si>
  <si>
    <t>Кам`янецька, 75</t>
  </si>
  <si>
    <t>Кам`янецька, 78</t>
  </si>
  <si>
    <t>Кам`янецька, 80</t>
  </si>
  <si>
    <t>Кам`янецька, 82</t>
  </si>
  <si>
    <t>Кам`янецька, 84</t>
  </si>
  <si>
    <t>Кам`янецька, 86</t>
  </si>
  <si>
    <t>Кам`янецька, 99</t>
  </si>
  <si>
    <t>SHARKY Ø25</t>
  </si>
  <si>
    <t>Кам΄янецька, 126/3</t>
  </si>
  <si>
    <t>Кам΄янецька, 159</t>
  </si>
  <si>
    <t>SHARKY Ø40</t>
  </si>
  <si>
    <t>Кам΄янецька, 159/1</t>
  </si>
  <si>
    <t>SHARKY 775 Ø40</t>
  </si>
  <si>
    <t>SHARKY 775 Ø25</t>
  </si>
  <si>
    <t>ULTRAHEAT  Ø50</t>
  </si>
  <si>
    <t>Кам΄янецька, 58</t>
  </si>
  <si>
    <t xml:space="preserve">ULTRAHEAT  Ø40 </t>
  </si>
  <si>
    <t>Кармелюка, 10</t>
  </si>
  <si>
    <t>ULTRAHEAT  Ø80</t>
  </si>
  <si>
    <t>Кармелюка, 12</t>
  </si>
  <si>
    <t>Supercal  Ø50</t>
  </si>
  <si>
    <t>Кармелюка, 12/1</t>
  </si>
  <si>
    <t>INFOCAL (SONOMETER) Ø40</t>
  </si>
  <si>
    <t>Кармелюка, 6/2</t>
  </si>
  <si>
    <t>Кармелюка, 8</t>
  </si>
  <si>
    <t>Кармелюка, 8/1</t>
  </si>
  <si>
    <t>Козацька, 54</t>
  </si>
  <si>
    <t>ULTRAHEAT  Ø65</t>
  </si>
  <si>
    <t>ULTRAHEAT  Ø25</t>
  </si>
  <si>
    <t xml:space="preserve">Козацька, 56/1 </t>
  </si>
  <si>
    <t>Козацька, 56/2</t>
  </si>
  <si>
    <t>Козацька, 56/3</t>
  </si>
  <si>
    <t>Козацька, 60</t>
  </si>
  <si>
    <t>ULTRAMETER Ø40</t>
  </si>
  <si>
    <t>Козацька, 60/1</t>
  </si>
  <si>
    <t>SHARKY 775 Ø65</t>
  </si>
  <si>
    <t>Козацька, 61/1</t>
  </si>
  <si>
    <t>Козацька, 61/2</t>
  </si>
  <si>
    <t>Козацька, 61/3</t>
  </si>
  <si>
    <t>ULTRAHEAT  Ø100</t>
  </si>
  <si>
    <t>Козацька, 65/1</t>
  </si>
  <si>
    <t>Коновальця, 12</t>
  </si>
  <si>
    <t>Кропивницького, 4</t>
  </si>
  <si>
    <t xml:space="preserve">ULTRAHEAT  Ø50 </t>
  </si>
  <si>
    <t>PolluStat Ø25</t>
  </si>
  <si>
    <t>Кропивницького, 6а</t>
  </si>
  <si>
    <t>Кропивницького, 8/1</t>
  </si>
  <si>
    <t>Купріна, 1</t>
  </si>
  <si>
    <t>Кутузова, 87</t>
  </si>
  <si>
    <t>Лікарняна, 1</t>
  </si>
  <si>
    <t>Supercal  Ø40</t>
  </si>
  <si>
    <t>Суперком-01 Ø32</t>
  </si>
  <si>
    <t>Лісогринівецька, 10/1</t>
  </si>
  <si>
    <t>Горинь-1 Ø65</t>
  </si>
  <si>
    <t>Лісогринівецька, 4</t>
  </si>
  <si>
    <t>М. Грушевського, 40</t>
  </si>
  <si>
    <t xml:space="preserve">CF-50  Ø50 </t>
  </si>
  <si>
    <t>М. Грушевського, 74</t>
  </si>
  <si>
    <t>М. Грушевського, 82</t>
  </si>
  <si>
    <t>М. Грушевського, 85</t>
  </si>
  <si>
    <t>М. Грушевського, 86</t>
  </si>
  <si>
    <t>М. Грушевського, 87/4</t>
  </si>
  <si>
    <t>М. Грушевського, 92</t>
  </si>
  <si>
    <t>М. Трембовецької, 14</t>
  </si>
  <si>
    <t>SHARKY Ø80</t>
  </si>
  <si>
    <t>М. Трембовецької, 23</t>
  </si>
  <si>
    <t>М. Трембовецької, 3</t>
  </si>
  <si>
    <t>М. Трембовецької, 49</t>
  </si>
  <si>
    <t>М. Трембовецької, 51/1</t>
  </si>
  <si>
    <t>SHARKY Ø50</t>
  </si>
  <si>
    <t>М. Трембовецької, 53/1</t>
  </si>
  <si>
    <t>SHARKY Ø65</t>
  </si>
  <si>
    <t>Майборського, 1</t>
  </si>
  <si>
    <t>ULTRAHEAT Ø65</t>
  </si>
  <si>
    <t>Майборського, 12</t>
  </si>
  <si>
    <t>Майборського, 13</t>
  </si>
  <si>
    <t>Майборського, 13/2</t>
  </si>
  <si>
    <t>Майборського, 14</t>
  </si>
  <si>
    <t>Майборського, 15</t>
  </si>
  <si>
    <t>Майборського, 15/1</t>
  </si>
  <si>
    <t>Майборського, 16</t>
  </si>
  <si>
    <t>Майборського, 2</t>
  </si>
  <si>
    <t>Майборського, 4</t>
  </si>
  <si>
    <t>ULTRAHEAT Ø50</t>
  </si>
  <si>
    <t>Майборського, 4/1</t>
  </si>
  <si>
    <t>Майборського, 6</t>
  </si>
  <si>
    <t>PolluStat Ø40</t>
  </si>
  <si>
    <t>Майборського, 8</t>
  </si>
  <si>
    <t>Миколи Мазура, 12/2</t>
  </si>
  <si>
    <t>Миколи Мазура, 18/1</t>
  </si>
  <si>
    <t>Миколи Мазура, 24</t>
  </si>
  <si>
    <t>CALMEX Ø50</t>
  </si>
  <si>
    <t>Миколи Мазура, 4</t>
  </si>
  <si>
    <t>П. Мирного, 21</t>
  </si>
  <si>
    <t>П. Мирного, 21/1</t>
  </si>
  <si>
    <t>ULTRAHEAT Ø80</t>
  </si>
  <si>
    <t>П. Мирного, 21/3</t>
  </si>
  <si>
    <t>П. Мирного, 21/4</t>
  </si>
  <si>
    <t>ULTRAHEAT Ø40</t>
  </si>
  <si>
    <t>П. Мирного, 25</t>
  </si>
  <si>
    <t>П. Мирного, 26/2</t>
  </si>
  <si>
    <t>П. Мирного, 26/3</t>
  </si>
  <si>
    <t>SHARKY Ø100</t>
  </si>
  <si>
    <t>П. Мирного, 28</t>
  </si>
  <si>
    <t>П. Мирного, 28/2</t>
  </si>
  <si>
    <t>П. Мирного, 28/3</t>
  </si>
  <si>
    <t>П. Мирного, 28/3 А</t>
  </si>
  <si>
    <t>П. Мирного, 30</t>
  </si>
  <si>
    <t>П. Мирного, 31</t>
  </si>
  <si>
    <t>METRONIC Ø40</t>
  </si>
  <si>
    <t>X-12 Ø50</t>
  </si>
  <si>
    <t>П. Мирного, 31/4</t>
  </si>
  <si>
    <t>П. Мирного, 31/5</t>
  </si>
  <si>
    <t>INFOCAL 5 (SONOCAL) Ø50</t>
  </si>
  <si>
    <t>П. Мирного, 32</t>
  </si>
  <si>
    <t>Multical Ø65</t>
  </si>
  <si>
    <t>П. Мирного, 32/2</t>
  </si>
  <si>
    <t>П. Мирного, 32/3</t>
  </si>
  <si>
    <t>П. Мирного, 33</t>
  </si>
  <si>
    <t>П. Мирного, 35</t>
  </si>
  <si>
    <t>Supercal  Ø25</t>
  </si>
  <si>
    <t>Суперком Ø40</t>
  </si>
  <si>
    <t>Перемоги, 1</t>
  </si>
  <si>
    <t>Перемоги, 10 А</t>
  </si>
  <si>
    <t>Перемоги, 11/1</t>
  </si>
  <si>
    <t>Перемоги, 13</t>
  </si>
  <si>
    <t>Перемоги, 13/1</t>
  </si>
  <si>
    <t>Перемоги, 2</t>
  </si>
  <si>
    <t>Перемоги, 3</t>
  </si>
  <si>
    <t xml:space="preserve">ULTRAHEAT  Ø65 </t>
  </si>
  <si>
    <t>Перемоги, 4</t>
  </si>
  <si>
    <t xml:space="preserve">SHARKY  Ø50 </t>
  </si>
  <si>
    <t>Перемоги, 4/1</t>
  </si>
  <si>
    <t>Перемоги, 6</t>
  </si>
  <si>
    <t>Перемоги, 6 А</t>
  </si>
  <si>
    <t xml:space="preserve">SHARKY  Ø40 </t>
  </si>
  <si>
    <t>Перемоги, 6/1</t>
  </si>
  <si>
    <t>Перемоги, 8</t>
  </si>
  <si>
    <t xml:space="preserve">SHARKY  Ø65 </t>
  </si>
  <si>
    <t>Перемоги, 8/1</t>
  </si>
  <si>
    <t>Перемоги, 8/2</t>
  </si>
  <si>
    <t>LQM-III (APATOR) Ø50</t>
  </si>
  <si>
    <t>Пересипкіна, 3</t>
  </si>
  <si>
    <t>Пилипчука, 36</t>
  </si>
  <si>
    <t>Пилипчука, 4</t>
  </si>
  <si>
    <t>SHARKY  Ø25</t>
  </si>
  <si>
    <t>Пилипчука, 59</t>
  </si>
  <si>
    <t>Пилипчука, 61</t>
  </si>
  <si>
    <t>Пилипчука, 67</t>
  </si>
  <si>
    <t>Північна, 121</t>
  </si>
  <si>
    <t>Північна, 2</t>
  </si>
  <si>
    <t>Пілотська, 1</t>
  </si>
  <si>
    <t>Пілотська, 117</t>
  </si>
  <si>
    <t>Пілотська, 117/1</t>
  </si>
  <si>
    <t>Пілотська, 39</t>
  </si>
  <si>
    <t>SHARKY  Ø80</t>
  </si>
  <si>
    <t>SHARKY  Ø40</t>
  </si>
  <si>
    <t>ULTRAHEAT  Ø40</t>
  </si>
  <si>
    <t>CALMEX Ø80</t>
  </si>
  <si>
    <t xml:space="preserve">SHARKY VMT  Ø65 </t>
  </si>
  <si>
    <t xml:space="preserve">SHARKY  Ø80 </t>
  </si>
  <si>
    <t>Суперком-01 Ø50</t>
  </si>
  <si>
    <t xml:space="preserve">SHARKY 775 Ø50 </t>
  </si>
  <si>
    <t>Горинь-1 Ø50</t>
  </si>
  <si>
    <t>PolluStat Ø50</t>
  </si>
  <si>
    <t>Прибузька, 42/1</t>
  </si>
  <si>
    <t>Прибузька, 44</t>
  </si>
  <si>
    <t>Прибузька, 6</t>
  </si>
  <si>
    <t>ULTRAHEAT  Ø 80</t>
  </si>
  <si>
    <t>пров.Верхній Береговий, 8/1</t>
  </si>
  <si>
    <t>пров.Іподромний, 2</t>
  </si>
  <si>
    <t>пров.Кам'янецький, 4/1</t>
  </si>
  <si>
    <t>пров.Козацький, 47</t>
  </si>
  <si>
    <t>Supercal-430  Ø 32</t>
  </si>
  <si>
    <t>пров.Козацький, 47/1</t>
  </si>
  <si>
    <t>пров.Кутузова, 4</t>
  </si>
  <si>
    <t>пров.Лапушкіна, 21</t>
  </si>
  <si>
    <t>пров.Маяковського, 7</t>
  </si>
  <si>
    <t>пров.Незалежності, 3</t>
  </si>
  <si>
    <t>CALMEX Ø 25</t>
  </si>
  <si>
    <t>пров.Незалежності, 5</t>
  </si>
  <si>
    <t>GF-50 Ø 25</t>
  </si>
  <si>
    <t>пров.Незалежності, 7</t>
  </si>
  <si>
    <t>Горинь Ø 50</t>
  </si>
  <si>
    <t>Pollutherm Ø 50</t>
  </si>
  <si>
    <t>пров.Некрасова, 1</t>
  </si>
  <si>
    <t>пров.Некрасова, 3</t>
  </si>
  <si>
    <t>пров.Подільський, 4</t>
  </si>
  <si>
    <t>PolluStat EX Ø 40</t>
  </si>
  <si>
    <t>пров.Пушкіна, 4</t>
  </si>
  <si>
    <t>пров.Тракторний, 20</t>
  </si>
  <si>
    <t>пров.Шевченко, 1</t>
  </si>
  <si>
    <t>пров.Шевченко, 3</t>
  </si>
  <si>
    <t>Проскурівська,1,3,7</t>
  </si>
  <si>
    <t>Проскурівська, 109</t>
  </si>
  <si>
    <t>Проскурівська, 21/31</t>
  </si>
  <si>
    <t>Проскурівська, 49</t>
  </si>
  <si>
    <t>Проскурівська, 58</t>
  </si>
  <si>
    <t>Проскурівська, 60</t>
  </si>
  <si>
    <t>MULTIDATA WR3  Ø 50</t>
  </si>
  <si>
    <t>Проскурівська, 62</t>
  </si>
  <si>
    <t>Проскурівська, 65</t>
  </si>
  <si>
    <t>Проскурівська, 71</t>
  </si>
  <si>
    <t>Проскурівська, 73</t>
  </si>
  <si>
    <t>Проскурівська, 85/1</t>
  </si>
  <si>
    <t>Проскурівського підпілля, 115/1</t>
  </si>
  <si>
    <t>Проскурівського підпілля, 117</t>
  </si>
  <si>
    <t>Проскурівського підпілля, 127</t>
  </si>
  <si>
    <t>Проскурівського підпілля, 16</t>
  </si>
  <si>
    <t>MULTIDATA WR3  Ø 40</t>
  </si>
  <si>
    <t>Проскурівського підпілля, 46</t>
  </si>
  <si>
    <t>Проскурівського підпілля, 48</t>
  </si>
  <si>
    <t>Проскурівського підпілля, 52/1</t>
  </si>
  <si>
    <t>Проскурівського підпілля, 82/1</t>
  </si>
  <si>
    <t>Проскурівського підпілля, 84/1</t>
  </si>
  <si>
    <t>пр.Миру, 42</t>
  </si>
  <si>
    <t xml:space="preserve">ULTRAHEAT  Ø 65 </t>
  </si>
  <si>
    <t>пр.Миру, 44</t>
  </si>
  <si>
    <t xml:space="preserve">АКВА-МВТ-2М Ø 65 </t>
  </si>
  <si>
    <t>пр.Миру, 46</t>
  </si>
  <si>
    <t>пр.Миру, 57/2</t>
  </si>
  <si>
    <t>пр.Миру, 57/4</t>
  </si>
  <si>
    <t>пр.Миру, 61/1</t>
  </si>
  <si>
    <t>пр.Миру, 61/2</t>
  </si>
  <si>
    <t>ULTRAHEAT  Ø 25</t>
  </si>
  <si>
    <t>пр.Миру, 62/1</t>
  </si>
  <si>
    <t>пр.Миру, 62/2</t>
  </si>
  <si>
    <t>пр.Миру, 62/3</t>
  </si>
  <si>
    <t>пр.Миру, 62/4</t>
  </si>
  <si>
    <t>пр.Миру, 62А</t>
  </si>
  <si>
    <t>пр.Миру, 62Б</t>
  </si>
  <si>
    <t>пр.Миру, 64</t>
  </si>
  <si>
    <t>Supercal  Ø 50</t>
  </si>
  <si>
    <t>пр.Миру, 65</t>
  </si>
  <si>
    <t>пр.Миру, 65/1</t>
  </si>
  <si>
    <t>пр.Миру, 65/2</t>
  </si>
  <si>
    <t>пр.Миру, 65/3</t>
  </si>
  <si>
    <t>пр.Миру, 65/4</t>
  </si>
  <si>
    <t>пр.Миру, 66</t>
  </si>
  <si>
    <t>пр.Миру, 67</t>
  </si>
  <si>
    <t>пр.Миру, 68</t>
  </si>
  <si>
    <t>пр.Миру, 70</t>
  </si>
  <si>
    <t>пр.Миру, 70/2</t>
  </si>
  <si>
    <t>пр.Миру, 70/3</t>
  </si>
  <si>
    <t>пр.Миру, 71/1</t>
  </si>
  <si>
    <t>пр.Миру, 71/2</t>
  </si>
  <si>
    <t>пр.Миру, 71/3</t>
  </si>
  <si>
    <t>пр.Миру, 73</t>
  </si>
  <si>
    <t>Горинь Ø 25</t>
  </si>
  <si>
    <t>пр.Миру, 73/1</t>
  </si>
  <si>
    <t>пр.Миру, 76</t>
  </si>
  <si>
    <t>пр.Миру, 76/1</t>
  </si>
  <si>
    <t>пр.Миру, 76/2</t>
  </si>
  <si>
    <t>пр.Миру, 76/3</t>
  </si>
  <si>
    <t>пр.Миру, 76/4</t>
  </si>
  <si>
    <t>пр.Миру, 76/7</t>
  </si>
  <si>
    <t>пр.Миру, 78</t>
  </si>
  <si>
    <t>пр.Миру, 78/1</t>
  </si>
  <si>
    <t>пр.Миру, 78/2</t>
  </si>
  <si>
    <t>Pollustat EX Ø 50</t>
  </si>
  <si>
    <t>пр.Миру, 78/3</t>
  </si>
  <si>
    <t>пр.Миру, 78/4</t>
  </si>
  <si>
    <t>пр.Миру, 78/5</t>
  </si>
  <si>
    <t>пр.Миру, 80</t>
  </si>
  <si>
    <t>пр.Миру, 80/1</t>
  </si>
  <si>
    <t>пр.Миру, 80/2</t>
  </si>
  <si>
    <t>пр.Миру, 80/3</t>
  </si>
  <si>
    <t>пр.Миру, 80/4</t>
  </si>
  <si>
    <t xml:space="preserve">Pollutherm Ø 32 </t>
  </si>
  <si>
    <t>пр.Миру, 82</t>
  </si>
  <si>
    <t>пр.Миру, 84</t>
  </si>
  <si>
    <t>пр.Миру, 86</t>
  </si>
  <si>
    <t>пр.Миру, 88</t>
  </si>
  <si>
    <t xml:space="preserve">Pollutherm Ø 40 </t>
  </si>
  <si>
    <t>пр.Миру, 92/1</t>
  </si>
  <si>
    <t>пр.Миру, 92/2</t>
  </si>
  <si>
    <t>пр.Миру, 93</t>
  </si>
  <si>
    <t>МВТ-2М Ø 65</t>
  </si>
  <si>
    <t>Пушкіна, 11</t>
  </si>
  <si>
    <t>Пушкіна, 13</t>
  </si>
  <si>
    <t>Пушкіна, 7</t>
  </si>
  <si>
    <t>Пушкіна, 9</t>
  </si>
  <si>
    <t>Ракетників, 8</t>
  </si>
  <si>
    <t>Ранкова, 1</t>
  </si>
  <si>
    <t>Ранкова, 3</t>
  </si>
  <si>
    <t>Ранкова, 5</t>
  </si>
  <si>
    <t>Свободи, 14А</t>
  </si>
  <si>
    <t>Свободи, 16А</t>
  </si>
  <si>
    <t>Свободи, 19</t>
  </si>
  <si>
    <t>CF-50 Ø 65</t>
  </si>
  <si>
    <t>Свободи, 1А</t>
  </si>
  <si>
    <t>Свободи, 2</t>
  </si>
  <si>
    <t>Pollustat EX Ø 25</t>
  </si>
  <si>
    <t>Свободи, 3</t>
  </si>
  <si>
    <t>Свободи, 3/1</t>
  </si>
  <si>
    <t>Свободи, 31/1</t>
  </si>
  <si>
    <t>Свободи, 3А</t>
  </si>
  <si>
    <t>Свободи, 46/1</t>
  </si>
  <si>
    <t>Свободи, 47</t>
  </si>
  <si>
    <t>Свободи, 48</t>
  </si>
  <si>
    <t>Свободи, 48/1</t>
  </si>
  <si>
    <t>Свободи, 51</t>
  </si>
  <si>
    <t>Свободи, 57</t>
  </si>
  <si>
    <t>Свободи, 5А</t>
  </si>
  <si>
    <t>Свободи, 6А</t>
  </si>
  <si>
    <t>Суперком 01 Ø 50</t>
  </si>
  <si>
    <t>Свободи, 75</t>
  </si>
  <si>
    <t>Свободи, 7А</t>
  </si>
  <si>
    <t xml:space="preserve">Свободи, 8Б </t>
  </si>
  <si>
    <t>Свободи, 8А</t>
  </si>
  <si>
    <t>Свободи, 95/2</t>
  </si>
  <si>
    <t>Свободи, 9А</t>
  </si>
  <si>
    <t>Свободи, 9Б</t>
  </si>
  <si>
    <t>Сіцінського, 16/1</t>
  </si>
  <si>
    <t>Сіцінського, 18</t>
  </si>
  <si>
    <t>Сіцінського, 18/1</t>
  </si>
  <si>
    <t>Сіцінського, 22</t>
  </si>
  <si>
    <t>Сіцінського, 24</t>
  </si>
  <si>
    <t>Соборна, 13</t>
  </si>
  <si>
    <t>Соборна, 15</t>
  </si>
  <si>
    <t>Соборна, 16</t>
  </si>
  <si>
    <t>Соборна, 17-19</t>
  </si>
  <si>
    <t>Соборна, 26</t>
  </si>
  <si>
    <t>Соборна, 27</t>
  </si>
  <si>
    <t>Соборна, 31</t>
  </si>
  <si>
    <t>Соборна, 33</t>
  </si>
  <si>
    <t>Соборна, 38/1</t>
  </si>
  <si>
    <t>Соборна, 43</t>
  </si>
  <si>
    <t>Соборна, 44/1</t>
  </si>
  <si>
    <t>Соборна, 56</t>
  </si>
  <si>
    <t>Соборна, 58</t>
  </si>
  <si>
    <t>Соборна, 6</t>
  </si>
  <si>
    <t>Соборна, 69</t>
  </si>
  <si>
    <t>Соборна, 71</t>
  </si>
  <si>
    <t>Соборна, 77</t>
  </si>
  <si>
    <t>Спортивна, 11</t>
  </si>
  <si>
    <t>Спортивна, 15</t>
  </si>
  <si>
    <t>Спортивна, 20</t>
  </si>
  <si>
    <t>Спортивна, 38</t>
  </si>
  <si>
    <t>Суперком 01-1  Ø 40</t>
  </si>
  <si>
    <t>Спортивна, 41</t>
  </si>
  <si>
    <t>Pollustat  Ø 40</t>
  </si>
  <si>
    <t>Спортивна, 44</t>
  </si>
  <si>
    <t>Старокостянтинівське Шосе, 10</t>
  </si>
  <si>
    <t>Старокостянтинівське Шосе, 12</t>
  </si>
  <si>
    <t>Старокостянтинівське Шосе, 12/1</t>
  </si>
  <si>
    <t>ULTRAHEAT  Ø 32</t>
  </si>
  <si>
    <t>Старокостянтинівське Шосе, 14</t>
  </si>
  <si>
    <t>Старокостянтинівське Шосе, 14/1</t>
  </si>
  <si>
    <t>Старокостянтинівське Шосе, 16</t>
  </si>
  <si>
    <t>Старокостянтинівське Шосе, 17/1</t>
  </si>
  <si>
    <t>Старокостянтинівське Шосе, 22</t>
  </si>
  <si>
    <t>Старокостянтинівське Шосе, 24</t>
  </si>
  <si>
    <t>Старокостянтинівське Шосе, 6</t>
  </si>
  <si>
    <t>Старокостянтинівське Шосе, 7А</t>
  </si>
  <si>
    <t>Старокостянтинівське Шосе, 8</t>
  </si>
  <si>
    <t>Старокостянтинівське Шосе, 8/1</t>
  </si>
  <si>
    <t>Староміська, 25</t>
  </si>
  <si>
    <t>Тернопільська, 3</t>
  </si>
  <si>
    <t>Тернопільська, 3/1</t>
  </si>
  <si>
    <t>Тернопільська, 3/2</t>
  </si>
  <si>
    <t>Трудова, 11</t>
  </si>
  <si>
    <t>Трудова, 13</t>
  </si>
  <si>
    <t>Pollustat  Ø 50</t>
  </si>
  <si>
    <t>Трудова, 14</t>
  </si>
  <si>
    <t>Трудова, 15</t>
  </si>
  <si>
    <t>Трудова, 15/1</t>
  </si>
  <si>
    <t>Трудова, 17</t>
  </si>
  <si>
    <t>Франка, 10</t>
  </si>
  <si>
    <t>MULTIDATAS1-U Ø 40</t>
  </si>
  <si>
    <t>Франка, 18</t>
  </si>
  <si>
    <t>Франка, 34</t>
  </si>
  <si>
    <t>Франка, 36/1</t>
  </si>
  <si>
    <t>Франка, 55</t>
  </si>
  <si>
    <t>Франка, 6</t>
  </si>
  <si>
    <t>Франка, 6/1</t>
  </si>
  <si>
    <t>Франка, 8/1</t>
  </si>
  <si>
    <t>Чорновола, 106</t>
  </si>
  <si>
    <t>Чорновола, 110</t>
  </si>
  <si>
    <t>Чорновола, 112</t>
  </si>
  <si>
    <t>Чорновола, 134/1</t>
  </si>
  <si>
    <t>Чорновола, 178</t>
  </si>
  <si>
    <t>Чорновола, 33</t>
  </si>
  <si>
    <t>Чорновола, 35</t>
  </si>
  <si>
    <t>Чорновола, 38</t>
  </si>
  <si>
    <t>Чорновола, 46</t>
  </si>
  <si>
    <t>Чорновола, 56</t>
  </si>
  <si>
    <t>Чорновола, 60</t>
  </si>
  <si>
    <t>Суперком - 01  Ø 65</t>
  </si>
  <si>
    <t>Чорновола, 62</t>
  </si>
  <si>
    <t>Чорновола, 95/1</t>
  </si>
  <si>
    <t>Шевченко, 101</t>
  </si>
  <si>
    <t>Шевченко, 103</t>
  </si>
  <si>
    <t>Шевченко, 3</t>
  </si>
  <si>
    <t>Шевченко, 34А</t>
  </si>
  <si>
    <t>Шевченко, 40</t>
  </si>
  <si>
    <t>Шевченко, 42</t>
  </si>
  <si>
    <t>Шевченко, 45</t>
  </si>
  <si>
    <t>Шевченко, 46/2</t>
  </si>
  <si>
    <t>Supercal-531  Ø 40</t>
  </si>
  <si>
    <t>Шевченко, 53</t>
  </si>
  <si>
    <t>Шевченко, 55</t>
  </si>
  <si>
    <t>Шевченко, 58</t>
  </si>
  <si>
    <t>Шевченко, 60</t>
  </si>
  <si>
    <t>Шевченко, 62</t>
  </si>
  <si>
    <t>Шевченко, 99</t>
  </si>
  <si>
    <t>LQM-III Ø 40</t>
  </si>
  <si>
    <t>THERMIFLU-T Ø 40</t>
  </si>
  <si>
    <t>Суперком - 01  Ø 40</t>
  </si>
  <si>
    <t>Суперком - 01 - 1  Ø 40</t>
  </si>
  <si>
    <t>Ярослава Мудрого, 2</t>
  </si>
  <si>
    <t xml:space="preserve">SHARKY Ø65          </t>
  </si>
  <si>
    <t xml:space="preserve">ULTRAHEAT Ø50   </t>
  </si>
  <si>
    <t xml:space="preserve">Суперком Ø50       </t>
  </si>
  <si>
    <t>Народної Волі, 8</t>
  </si>
  <si>
    <t>Пілотська, 7</t>
  </si>
  <si>
    <t>Пілотська, 74</t>
  </si>
  <si>
    <t>Пілотська, 76</t>
  </si>
  <si>
    <t>PolluStat   Ø40</t>
  </si>
  <si>
    <t>Подільська, 10</t>
  </si>
  <si>
    <t>Повстанська, 40</t>
  </si>
  <si>
    <t>Повстанська, 42/2</t>
  </si>
  <si>
    <t>Подільська, 132</t>
  </si>
  <si>
    <t>Подільська, 147/1</t>
  </si>
  <si>
    <t>Подільська, 149</t>
  </si>
  <si>
    <t>Подільська, 159</t>
  </si>
  <si>
    <t>Подільська, 169</t>
  </si>
  <si>
    <t>Подільська, 17/1</t>
  </si>
  <si>
    <t>Подільська, 171</t>
  </si>
  <si>
    <t>Подільська, 25</t>
  </si>
  <si>
    <t>Подільська, 38</t>
  </si>
  <si>
    <t>Подільська, 51-53</t>
  </si>
  <si>
    <t>Подільська, 65</t>
  </si>
  <si>
    <t>Подільська, 9/1</t>
  </si>
  <si>
    <t>Попова, 1</t>
  </si>
  <si>
    <t>Попова, 13</t>
  </si>
  <si>
    <t>Попова, 15</t>
  </si>
  <si>
    <t>Попова, 2</t>
  </si>
  <si>
    <t>Попова, 3</t>
  </si>
  <si>
    <t>Попова, 4</t>
  </si>
  <si>
    <t>Попова, 5</t>
  </si>
  <si>
    <t>Попова, 6</t>
  </si>
  <si>
    <t>Попова, 7</t>
  </si>
  <si>
    <t>Попова, 9</t>
  </si>
  <si>
    <t>Прибузька, 10</t>
  </si>
  <si>
    <t>Прибузька, 12</t>
  </si>
  <si>
    <t>Прибузька, 14</t>
  </si>
  <si>
    <t>Прибузька, 18 Б</t>
  </si>
  <si>
    <t>Прибузька, 20</t>
  </si>
  <si>
    <t>Прибузька, 22</t>
  </si>
  <si>
    <t>MULTIDATA WR3 Ø25</t>
  </si>
  <si>
    <t xml:space="preserve">SHARKYØ25,  </t>
  </si>
  <si>
    <t>Прибузька, 36/1</t>
  </si>
  <si>
    <t>Прибузька, 34/1</t>
  </si>
  <si>
    <t>Прибузька, 32</t>
  </si>
  <si>
    <t>Прибузька, 30</t>
  </si>
  <si>
    <t>Прибузька, 26</t>
  </si>
  <si>
    <t xml:space="preserve">SHARKY 775   Ø65 </t>
  </si>
  <si>
    <t>Прибузька, 4</t>
  </si>
  <si>
    <t>Прибузька, 42</t>
  </si>
  <si>
    <t>пров.Жовтневий, 1                                         (пров.Прибузький, 1)</t>
  </si>
  <si>
    <t>ULTRAHEATØ 40(6ліч.),                             SHARKY  Ø 100 заг.</t>
  </si>
  <si>
    <t>ULTRAHEAT  Ø 40(3ліч.)</t>
  </si>
  <si>
    <t>ULTRAHEATØ 40 (2 ліч.)</t>
  </si>
  <si>
    <t>ULTRAHEATØ 50 (2 ліч.)</t>
  </si>
  <si>
    <t>MULTIDATA WR3 Ø 65</t>
  </si>
  <si>
    <t>CALMEX-UVKR-231Ø 50</t>
  </si>
  <si>
    <t>ULTRAHEAT Ø 40(2 ліч.)</t>
  </si>
  <si>
    <t xml:space="preserve">Озерна, 10/1 </t>
  </si>
  <si>
    <r>
      <t>Кіль-кість примі-щень</t>
    </r>
    <r>
      <rPr>
        <sz val="12"/>
        <color theme="1"/>
        <rFont val="Arial"/>
        <family val="2"/>
        <charset val="204"/>
      </rPr>
      <t>*</t>
    </r>
  </si>
  <si>
    <t>Керуючий справами виконавчого комітету</t>
  </si>
  <si>
    <t>Ю.Сабій</t>
  </si>
  <si>
    <t>Директор міського комунального підприємства</t>
  </si>
  <si>
    <t>"Хмельницьктеплокомуненерго"</t>
  </si>
  <si>
    <t xml:space="preserve">   В.Скаліій</t>
  </si>
  <si>
    <t xml:space="preserve">                                                                                        Додаток до рішення виконавчого комітету</t>
  </si>
  <si>
    <t xml:space="preserve">                                                                             від "____"__________2019 р. №________</t>
  </si>
  <si>
    <t xml:space="preserve">                                                                            Хмельницької міської ради</t>
  </si>
  <si>
    <t xml:space="preserve">Бандери, 10/2 </t>
  </si>
  <si>
    <t xml:space="preserve">Бандери, 10/3 </t>
  </si>
  <si>
    <t xml:space="preserve">Бандери, 22/2 </t>
  </si>
  <si>
    <t>Бандери, 49</t>
  </si>
  <si>
    <t xml:space="preserve">Бандери, 8 </t>
  </si>
  <si>
    <t xml:space="preserve">Бандери, 10 </t>
  </si>
  <si>
    <t xml:space="preserve">Водопровідна, 39 </t>
  </si>
  <si>
    <t xml:space="preserve">Водоровідна, 43 </t>
  </si>
  <si>
    <t>Володимирська, 1</t>
  </si>
  <si>
    <t>Г.Сковороди, 11</t>
  </si>
  <si>
    <t xml:space="preserve">Г.Сковороди, 12 </t>
  </si>
  <si>
    <t xml:space="preserve">Г.Сковороди, 14 </t>
  </si>
  <si>
    <t xml:space="preserve">Г.Сковороди, 9/2 </t>
  </si>
  <si>
    <t xml:space="preserve">Гагаріна, 60 </t>
  </si>
  <si>
    <t>Володимирська, 79, Героїв Майдану, 40</t>
  </si>
  <si>
    <t>Гайова, 2</t>
  </si>
  <si>
    <t>Гастелло, 12/1</t>
  </si>
  <si>
    <t xml:space="preserve">Гастелло, 16/2 </t>
  </si>
  <si>
    <t>Героїв АТО, 1  (Ціалковського,1)</t>
  </si>
  <si>
    <t>Героїв АТО, 10 (Ціалковського,10)</t>
  </si>
  <si>
    <t>Героїв АТО, 12 (Ціалковського,12)</t>
  </si>
  <si>
    <t>Героїв АТО, 12 (Ціалковського,12/1)</t>
  </si>
  <si>
    <t>Героїв АТО, 14 (Ціалковського,14)</t>
  </si>
  <si>
    <t>Героїв АТО, 2 (Ціалковського,2)</t>
  </si>
  <si>
    <t>Героїв АТО, 3 (Ціалковського,3)</t>
  </si>
  <si>
    <t>Героїв АТО, 4 (Ціалковського,4)</t>
  </si>
  <si>
    <t>Героїв АТО, 5 (Ціалковського,5)</t>
  </si>
  <si>
    <t>Героїв АТО, 5/1 (Ціалковського,5/1)</t>
  </si>
  <si>
    <t>Героїв АТО, 5/1 А (Ціалковського,5/1 А)</t>
  </si>
  <si>
    <t>Героїв АТО, 5/2 (Ціалковського,5/2)</t>
  </si>
  <si>
    <t>Героїв АТО, 7 (Ціалковського,7)</t>
  </si>
  <si>
    <t>Героїв АТО, 9 (Ціалковського,9)</t>
  </si>
  <si>
    <t>Героїв АТО, 9/1 (Ціалковського,9/1)</t>
  </si>
  <si>
    <t>Довженка, 1</t>
  </si>
  <si>
    <t xml:space="preserve">Довженка, 1 </t>
  </si>
  <si>
    <t>Шевченко, 8</t>
  </si>
  <si>
    <t xml:space="preserve">Ю.Горбанчука, 4/1 </t>
  </si>
  <si>
    <t>Ю.Горбанчука, 6</t>
  </si>
  <si>
    <t xml:space="preserve">Ю.Горбанчука, 7 </t>
  </si>
  <si>
    <t xml:space="preserve">Довженка, 14/1 </t>
  </si>
  <si>
    <t xml:space="preserve">Довженка, 3 </t>
  </si>
  <si>
    <t xml:space="preserve">Довженка, 5 </t>
  </si>
  <si>
    <t xml:space="preserve">Завадського, 38 </t>
  </si>
  <si>
    <t xml:space="preserve">Залізняка, 12 </t>
  </si>
  <si>
    <t xml:space="preserve">Залізняка, 14 </t>
  </si>
  <si>
    <t xml:space="preserve">Залізняка, 18 </t>
  </si>
  <si>
    <t xml:space="preserve">Зарічанська, 18 </t>
  </si>
  <si>
    <t xml:space="preserve">Зарічанська, 18/2 </t>
  </si>
  <si>
    <t xml:space="preserve">Зарічанська, 20/1  </t>
  </si>
  <si>
    <t xml:space="preserve">Зарічанська, 24 </t>
  </si>
  <si>
    <t xml:space="preserve">Зарічанська, 32 </t>
  </si>
  <si>
    <t xml:space="preserve">Зарічанська, 36/1  </t>
  </si>
  <si>
    <t xml:space="preserve">Зарічанська, 36/3 </t>
  </si>
  <si>
    <t xml:space="preserve">Зарічанська, 38 </t>
  </si>
  <si>
    <t xml:space="preserve">Зарічанська, 48 </t>
  </si>
  <si>
    <t>Кам΄янецька, 99/1</t>
  </si>
  <si>
    <t xml:space="preserve">Кам΄янецька, 48 </t>
  </si>
  <si>
    <t xml:space="preserve">Кам΄янецька, 52 </t>
  </si>
  <si>
    <t>Кам΄янецька, 63</t>
  </si>
  <si>
    <t xml:space="preserve">Кам΄янецька, 67 </t>
  </si>
  <si>
    <t xml:space="preserve">Козацька, 54/1 </t>
  </si>
  <si>
    <t xml:space="preserve">Кропивницького, 6 </t>
  </si>
  <si>
    <t xml:space="preserve">Лікарняна, 3/1 </t>
  </si>
  <si>
    <t>Козацька, 62, Купріна,61</t>
  </si>
  <si>
    <t xml:space="preserve">Майборського, 11 </t>
  </si>
  <si>
    <t>Майборського, 13/1</t>
  </si>
  <si>
    <t xml:space="preserve">П. Мирного, 23 </t>
  </si>
  <si>
    <t xml:space="preserve">П. Мирного, 27 </t>
  </si>
  <si>
    <t xml:space="preserve">П. Мирного, 31/3 </t>
  </si>
  <si>
    <t xml:space="preserve">Народної Волі, 6 </t>
  </si>
  <si>
    <t xml:space="preserve">Перемоги, 10 Б </t>
  </si>
  <si>
    <t xml:space="preserve">Перемоги, 11 </t>
  </si>
  <si>
    <t xml:space="preserve">Перемоги, 12 </t>
  </si>
  <si>
    <t>Пілотська, 53</t>
  </si>
  <si>
    <t xml:space="preserve">Повстанська, 36 </t>
  </si>
  <si>
    <t>Повстанська, 38</t>
  </si>
  <si>
    <t xml:space="preserve">Подільська, 12 </t>
  </si>
  <si>
    <t>Гагаріна, 28, Гагаріна, 28/1</t>
  </si>
  <si>
    <t>Героїв Майдану, 17, Володимирська,77</t>
  </si>
  <si>
    <t xml:space="preserve">Прибузька, 16 </t>
  </si>
  <si>
    <t xml:space="preserve">Прибузька, 18 </t>
  </si>
  <si>
    <t>Прибузька, 2</t>
  </si>
  <si>
    <t xml:space="preserve">Прибузька, 24 </t>
  </si>
  <si>
    <t xml:space="preserve">Прибузька, 34 </t>
  </si>
  <si>
    <t xml:space="preserve">Прибузька, 36 </t>
  </si>
  <si>
    <t>пров Іподромний, 18</t>
  </si>
  <si>
    <t>пров.Незалежності, 9</t>
  </si>
  <si>
    <t xml:space="preserve">Проскурівська, 107 </t>
  </si>
  <si>
    <t xml:space="preserve">Проскурівська, 16 </t>
  </si>
  <si>
    <t>Проскурівського підпілля, 25</t>
  </si>
  <si>
    <t>Проскурівського підпілля, 127/1, 127/1А</t>
  </si>
  <si>
    <t xml:space="preserve">пр.Миру, 53/1 </t>
  </si>
  <si>
    <t xml:space="preserve">пр.Миру, 54 </t>
  </si>
  <si>
    <t xml:space="preserve">пр.Миру, 57/1 </t>
  </si>
  <si>
    <t xml:space="preserve">пр.Миру, 60 </t>
  </si>
  <si>
    <t xml:space="preserve">пр.Миру, 60/1 </t>
  </si>
  <si>
    <t xml:space="preserve">пр.Миру, 60/2 </t>
  </si>
  <si>
    <t xml:space="preserve">пр.Миру, 60/3 </t>
  </si>
  <si>
    <t xml:space="preserve">пр.Миру, 60/4 </t>
  </si>
  <si>
    <t xml:space="preserve">пр.Миру, 62 </t>
  </si>
  <si>
    <t xml:space="preserve">пр.Миру, 70/1 </t>
  </si>
  <si>
    <t xml:space="preserve">пр.Миру, 72 </t>
  </si>
  <si>
    <t>пр.Миру, 80/5</t>
  </si>
  <si>
    <t xml:space="preserve">пр.Миру, 92 </t>
  </si>
  <si>
    <t>пр.Миру, 95/2, 95/2А</t>
  </si>
  <si>
    <t>пр.Миру, 95/1, 95/1А</t>
  </si>
  <si>
    <t xml:space="preserve">Свободи, 13А </t>
  </si>
  <si>
    <t>Свободи, 11А</t>
  </si>
  <si>
    <t xml:space="preserve">Свободи, 18/1 </t>
  </si>
  <si>
    <t xml:space="preserve">Свободи, 22 </t>
  </si>
  <si>
    <t>Свободи, 4А</t>
  </si>
  <si>
    <t xml:space="preserve">Свободи, 7Б </t>
  </si>
  <si>
    <t>Соборна, 14/2, 12/1</t>
  </si>
  <si>
    <t xml:space="preserve">Спортивна, 40 </t>
  </si>
  <si>
    <t>Спортивна, 42</t>
  </si>
  <si>
    <t>Трудова, 40</t>
  </si>
  <si>
    <t xml:space="preserve">Чорновола, 182Б </t>
  </si>
  <si>
    <t>Шевченко, 6, 4</t>
  </si>
  <si>
    <t xml:space="preserve">Ю.Горбанчука, 4 </t>
  </si>
  <si>
    <t>Шевченко, 49, 47</t>
  </si>
  <si>
    <t>пр.Миру, 51/2</t>
  </si>
  <si>
    <t xml:space="preserve">Проскурівська, 85 </t>
  </si>
  <si>
    <t>пров.Жовтневий, 1А                                (пров.Прибузький, 1А)</t>
  </si>
  <si>
    <t>Подільська, 78</t>
  </si>
  <si>
    <t>Зарічанська, 14/1 А</t>
  </si>
  <si>
    <t>Зарічанська, 14/3 А</t>
  </si>
  <si>
    <t xml:space="preserve">Зарічанська, 12А </t>
  </si>
  <si>
    <t>Героїв АТО, 6 (Ціалковського,6)</t>
  </si>
  <si>
    <t>Свободи, 2А</t>
  </si>
  <si>
    <t>Свободи, 22А</t>
  </si>
  <si>
    <t xml:space="preserve">Старокостянтинівське Шосе, 3А/1                             </t>
  </si>
  <si>
    <t>Розміри внесків за заміну вузлів комерційного обліку теплової енергії по МКП "Хмельницьктеплокомуненерго"</t>
  </si>
  <si>
    <t>Розміри внесків за заміну                                        вузла обліку, грн./квартал/                                                 приміщення, з ПДВ</t>
  </si>
  <si>
    <r>
      <t xml:space="preserve">ENERGY-INTE </t>
    </r>
    <r>
      <rPr>
        <sz val="10"/>
        <rFont val="Arial"/>
        <family val="2"/>
        <charset val="204"/>
      </rPr>
      <t>Ø80</t>
    </r>
  </si>
  <si>
    <r>
      <t xml:space="preserve">MULNIDATA </t>
    </r>
    <r>
      <rPr>
        <sz val="10"/>
        <rFont val="Arial"/>
        <family val="2"/>
        <charset val="204"/>
      </rPr>
      <t>Ø</t>
    </r>
    <r>
      <rPr>
        <sz val="10"/>
        <rFont val="Times New Roman"/>
        <family val="1"/>
        <charset val="204"/>
      </rPr>
      <t>50</t>
    </r>
  </si>
  <si>
    <r>
      <t>INFOCAL5       (SONOMETER)</t>
    </r>
    <r>
      <rPr>
        <sz val="10"/>
        <rFont val="Arial"/>
        <family val="2"/>
        <charset val="204"/>
      </rPr>
      <t>Ø</t>
    </r>
    <r>
      <rPr>
        <sz val="10"/>
        <rFont val="Times New Roman"/>
        <family val="1"/>
        <charset val="204"/>
      </rPr>
      <t>50</t>
    </r>
  </si>
  <si>
    <r>
      <t xml:space="preserve">SHARKY   </t>
    </r>
    <r>
      <rPr>
        <sz val="10"/>
        <rFont val="Arial Cyr"/>
        <charset val="204"/>
      </rPr>
      <t>Ø 80</t>
    </r>
  </si>
  <si>
    <r>
      <t xml:space="preserve">SHARKY   </t>
    </r>
    <r>
      <rPr>
        <sz val="10"/>
        <rFont val="Arial Cyr"/>
        <charset val="204"/>
      </rPr>
      <t>Ø 20</t>
    </r>
  </si>
  <si>
    <r>
      <t xml:space="preserve">SHARKY   </t>
    </r>
    <r>
      <rPr>
        <sz val="10"/>
        <rFont val="Arial Cyr"/>
        <charset val="204"/>
      </rPr>
      <t>Ø 50</t>
    </r>
  </si>
  <si>
    <r>
      <t xml:space="preserve">SHARKY   </t>
    </r>
    <r>
      <rPr>
        <sz val="10"/>
        <rFont val="Arial Cyr"/>
        <charset val="204"/>
      </rPr>
      <t>Ø 25</t>
    </r>
  </si>
  <si>
    <r>
      <t xml:space="preserve">SHARKY   </t>
    </r>
    <r>
      <rPr>
        <sz val="10"/>
        <rFont val="Arial Cyr"/>
        <charset val="204"/>
      </rPr>
      <t>Ø 65</t>
    </r>
  </si>
  <si>
    <r>
      <t xml:space="preserve">SHARKY   </t>
    </r>
    <r>
      <rPr>
        <sz val="10"/>
        <rFont val="Arial Cyr"/>
        <charset val="204"/>
      </rPr>
      <t>Ø 50 (2 ліч.)</t>
    </r>
  </si>
  <si>
    <r>
      <t xml:space="preserve">SHARKY   </t>
    </r>
    <r>
      <rPr>
        <sz val="10"/>
        <rFont val="Arial Cyr"/>
        <charset val="204"/>
      </rPr>
      <t>Ø40</t>
    </r>
  </si>
  <si>
    <r>
      <t xml:space="preserve">SHARKY   </t>
    </r>
    <r>
      <rPr>
        <sz val="10"/>
        <rFont val="Arial Cyr"/>
        <charset val="204"/>
      </rPr>
      <t>Ø65</t>
    </r>
  </si>
  <si>
    <r>
      <t xml:space="preserve">SHARKY   </t>
    </r>
    <r>
      <rPr>
        <sz val="10"/>
        <rFont val="Arial Cyr"/>
        <charset val="204"/>
      </rPr>
      <t>Ø50</t>
    </r>
  </si>
  <si>
    <r>
      <t xml:space="preserve">SHARKY   </t>
    </r>
    <r>
      <rPr>
        <sz val="10"/>
        <rFont val="Arial Cyr"/>
        <charset val="204"/>
      </rPr>
      <t>Ø25</t>
    </r>
  </si>
  <si>
    <r>
      <t xml:space="preserve">SHARKY 775 </t>
    </r>
    <r>
      <rPr>
        <sz val="10"/>
        <rFont val="Arial Cyr"/>
        <charset val="204"/>
      </rPr>
      <t>Ø 40</t>
    </r>
  </si>
  <si>
    <r>
      <t xml:space="preserve">SHARKY  </t>
    </r>
    <r>
      <rPr>
        <sz val="10"/>
        <rFont val="Arial Cyr"/>
        <charset val="204"/>
      </rPr>
      <t>Ø 40 (2 ліч.)</t>
    </r>
  </si>
  <si>
    <r>
      <t xml:space="preserve">SHARKY  </t>
    </r>
    <r>
      <rPr>
        <sz val="10"/>
        <rFont val="Arial Cyr"/>
        <charset val="204"/>
      </rPr>
      <t>Ø 50</t>
    </r>
  </si>
  <si>
    <r>
      <t xml:space="preserve">SHARKY  </t>
    </r>
    <r>
      <rPr>
        <sz val="10"/>
        <rFont val="Arial Cyr"/>
        <charset val="204"/>
      </rPr>
      <t>Ø 65</t>
    </r>
  </si>
  <si>
    <r>
      <t xml:space="preserve">SHARKY 775  </t>
    </r>
    <r>
      <rPr>
        <sz val="10"/>
        <rFont val="Arial Cyr"/>
        <charset val="204"/>
      </rPr>
      <t>Ø 50</t>
    </r>
  </si>
  <si>
    <r>
      <t xml:space="preserve">SHARKY   </t>
    </r>
    <r>
      <rPr>
        <sz val="10"/>
        <rFont val="Arial Cyr"/>
        <charset val="204"/>
      </rPr>
      <t>Ø 40</t>
    </r>
  </si>
  <si>
    <r>
      <t xml:space="preserve">SHARKY VMT  </t>
    </r>
    <r>
      <rPr>
        <sz val="10"/>
        <rFont val="Arial Cyr"/>
        <charset val="204"/>
      </rPr>
      <t>Ø 65</t>
    </r>
  </si>
  <si>
    <r>
      <t xml:space="preserve">SHARKY VMT  </t>
    </r>
    <r>
      <rPr>
        <sz val="10"/>
        <rFont val="Arial Cyr"/>
        <charset val="204"/>
      </rPr>
      <t>Ø 50</t>
    </r>
  </si>
  <si>
    <r>
      <t xml:space="preserve">SHARKY 775  </t>
    </r>
    <r>
      <rPr>
        <sz val="10"/>
        <rFont val="Arial Cyr"/>
        <charset val="204"/>
      </rPr>
      <t>Ø 65</t>
    </r>
  </si>
  <si>
    <r>
      <t xml:space="preserve">SHARKY </t>
    </r>
    <r>
      <rPr>
        <sz val="10"/>
        <rFont val="Arial Cyr"/>
        <charset val="204"/>
      </rPr>
      <t>Ø 65</t>
    </r>
  </si>
  <si>
    <r>
      <t xml:space="preserve">SHARKY  775  </t>
    </r>
    <r>
      <rPr>
        <sz val="10"/>
        <rFont val="Arial Cyr"/>
        <charset val="204"/>
      </rPr>
      <t>Ø 40</t>
    </r>
  </si>
  <si>
    <r>
      <t xml:space="preserve">SHARKY  775  </t>
    </r>
    <r>
      <rPr>
        <sz val="10"/>
        <rFont val="Arial Cyr"/>
        <charset val="204"/>
      </rPr>
      <t>Ø 65</t>
    </r>
  </si>
  <si>
    <r>
      <t xml:space="preserve">SHARKY    </t>
    </r>
    <r>
      <rPr>
        <sz val="10"/>
        <rFont val="Arial Cyr"/>
        <charset val="204"/>
      </rPr>
      <t>Ø 40</t>
    </r>
  </si>
  <si>
    <r>
      <t xml:space="preserve">SHARKY    </t>
    </r>
    <r>
      <rPr>
        <sz val="10"/>
        <rFont val="Arial Cyr"/>
        <charset val="204"/>
      </rPr>
      <t>Ø 25</t>
    </r>
  </si>
  <si>
    <r>
      <t xml:space="preserve">SHARKY    </t>
    </r>
    <r>
      <rPr>
        <sz val="10"/>
        <rFont val="Arial Cyr"/>
        <charset val="204"/>
      </rPr>
      <t>Ø 50</t>
    </r>
  </si>
  <si>
    <r>
      <t xml:space="preserve">SHARKY  775  </t>
    </r>
    <r>
      <rPr>
        <sz val="10"/>
        <rFont val="Arial Cyr"/>
        <charset val="204"/>
      </rPr>
      <t>Ø 50</t>
    </r>
  </si>
  <si>
    <r>
      <t xml:space="preserve">SHARKY VMT  </t>
    </r>
    <r>
      <rPr>
        <sz val="10"/>
        <rFont val="Arial Cyr"/>
        <charset val="204"/>
      </rPr>
      <t>Ø 80</t>
    </r>
  </si>
  <si>
    <r>
      <t xml:space="preserve">SHARKY    </t>
    </r>
    <r>
      <rPr>
        <sz val="10"/>
        <rFont val="Arial Cyr"/>
        <charset val="204"/>
      </rPr>
      <t>Ø 65</t>
    </r>
  </si>
  <si>
    <r>
      <t xml:space="preserve">Горинь-1    </t>
    </r>
    <r>
      <rPr>
        <sz val="10"/>
        <rFont val="Arial Cyr"/>
        <charset val="204"/>
      </rPr>
      <t>Ø 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</si>
</sst>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/>
    <xf numFmtId="0" fontId="9" fillId="0" borderId="6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4" fillId="0" borderId="4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9" fillId="0" borderId="6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/>
    <xf numFmtId="0" fontId="9" fillId="0" borderId="1" xfId="0" applyFont="1" applyFill="1" applyBorder="1" applyAlignment="1">
      <alignment horizontal="left" wrapText="1"/>
    </xf>
    <xf numFmtId="2" fontId="4" fillId="0" borderId="0" xfId="0" applyNumberFormat="1" applyFont="1" applyFill="1"/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2" fontId="4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0" fontId="4" fillId="0" borderId="12" xfId="0" applyFont="1" applyFill="1" applyBorder="1" applyAlignment="1"/>
    <xf numFmtId="2" fontId="4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right" vertical="center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/>
    </xf>
    <xf numFmtId="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3"/>
  <sheetViews>
    <sheetView tabSelected="1" topLeftCell="A862" workbookViewId="0">
      <selection activeCell="K7" sqref="K7"/>
    </sheetView>
  </sheetViews>
  <sheetFormatPr defaultRowHeight="15.75" outlineLevelRow="1"/>
  <cols>
    <col min="1" max="1" width="6.7109375" style="1" customWidth="1"/>
    <col min="2" max="2" width="56.5703125" style="1" customWidth="1"/>
    <col min="3" max="3" width="20.5703125" style="1" hidden="1" customWidth="1"/>
    <col min="4" max="4" width="10.85546875" style="1" hidden="1" customWidth="1"/>
    <col min="5" max="5" width="9.28515625" style="1" hidden="1" customWidth="1"/>
    <col min="6" max="6" width="29.85546875" style="1" customWidth="1"/>
    <col min="7" max="8" width="0" style="1" hidden="1" customWidth="1"/>
    <col min="9" max="16384" width="9.140625" style="1"/>
  </cols>
  <sheetData>
    <row r="1" spans="1:8" outlineLevel="1">
      <c r="A1" s="116" t="s">
        <v>722</v>
      </c>
      <c r="B1" s="116"/>
      <c r="C1" s="116"/>
      <c r="D1" s="116"/>
      <c r="E1" s="116"/>
      <c r="F1" s="116"/>
    </row>
    <row r="2" spans="1:8" outlineLevel="1">
      <c r="B2" s="116" t="s">
        <v>724</v>
      </c>
      <c r="C2" s="116"/>
      <c r="D2" s="116"/>
      <c r="E2" s="116"/>
      <c r="F2" s="116"/>
    </row>
    <row r="3" spans="1:8" ht="18.75" outlineLevel="1">
      <c r="A3" s="5"/>
      <c r="B3" s="116" t="s">
        <v>723</v>
      </c>
      <c r="C3" s="116"/>
      <c r="D3" s="116"/>
      <c r="E3" s="116"/>
      <c r="F3" s="116"/>
    </row>
    <row r="4" spans="1:8" ht="12" customHeight="1" outlineLevel="1">
      <c r="A4" s="5"/>
      <c r="B4" s="6"/>
      <c r="C4" s="6"/>
      <c r="D4" s="6"/>
      <c r="E4" s="6"/>
      <c r="F4" s="6"/>
    </row>
    <row r="5" spans="1:8" ht="35.25" customHeight="1">
      <c r="A5" s="115" t="s">
        <v>856</v>
      </c>
      <c r="B5" s="115"/>
      <c r="C5" s="115"/>
      <c r="D5" s="115"/>
      <c r="E5" s="115"/>
      <c r="F5" s="115"/>
    </row>
    <row r="6" spans="1:8" ht="12.75" customHeight="1">
      <c r="D6" s="99"/>
      <c r="E6" s="99"/>
      <c r="F6" s="99"/>
    </row>
    <row r="7" spans="1:8" ht="94.5" customHeight="1">
      <c r="A7" s="7" t="s">
        <v>1</v>
      </c>
      <c r="B7" s="8" t="s">
        <v>0</v>
      </c>
      <c r="C7" s="2" t="s">
        <v>3</v>
      </c>
      <c r="D7" s="3" t="s">
        <v>163</v>
      </c>
      <c r="E7" s="3" t="s">
        <v>716</v>
      </c>
      <c r="F7" s="9" t="s">
        <v>857</v>
      </c>
    </row>
    <row r="8" spans="1:8" s="13" customFormat="1" ht="15.95" customHeight="1">
      <c r="A8" s="14">
        <v>1</v>
      </c>
      <c r="B8" s="15" t="s">
        <v>5</v>
      </c>
      <c r="C8" s="16" t="s">
        <v>6</v>
      </c>
      <c r="D8" s="17">
        <f>4851.6</f>
        <v>4851.6000000000004</v>
      </c>
      <c r="E8" s="14">
        <v>144</v>
      </c>
      <c r="F8" s="18">
        <f t="shared" ref="F8:F71" si="0">ROUND(D8/E8/4,2)</f>
        <v>8.42</v>
      </c>
      <c r="G8" s="19">
        <f>ROUND(452.88/E8,2)</f>
        <v>3.15</v>
      </c>
      <c r="H8" s="13">
        <f>ROUND(1212.9/E8,2)</f>
        <v>8.42</v>
      </c>
    </row>
    <row r="9" spans="1:8" s="13" customFormat="1" ht="15.95" customHeight="1">
      <c r="A9" s="14">
        <v>2</v>
      </c>
      <c r="B9" s="15" t="s">
        <v>4</v>
      </c>
      <c r="C9" s="16" t="s">
        <v>15</v>
      </c>
      <c r="D9" s="17">
        <v>3590</v>
      </c>
      <c r="E9" s="14">
        <v>101</v>
      </c>
      <c r="F9" s="18">
        <f t="shared" si="0"/>
        <v>8.89</v>
      </c>
      <c r="G9" s="19">
        <f>ROUND(441.63/E9,2)</f>
        <v>4.37</v>
      </c>
      <c r="H9" s="13">
        <f>ROUND(897.51/E9,2)</f>
        <v>8.89</v>
      </c>
    </row>
    <row r="10" spans="1:8" s="13" customFormat="1" ht="7.5" customHeight="1">
      <c r="A10" s="78">
        <v>3</v>
      </c>
      <c r="B10" s="92" t="s">
        <v>725</v>
      </c>
      <c r="C10" s="20" t="s">
        <v>15</v>
      </c>
      <c r="D10" s="69">
        <f>3590*2</f>
        <v>7180</v>
      </c>
      <c r="E10" s="78">
        <f>36+36</f>
        <v>72</v>
      </c>
      <c r="F10" s="73">
        <f t="shared" si="0"/>
        <v>24.93</v>
      </c>
      <c r="G10" s="100">
        <f>ROUND(441.63*2/E10,2)</f>
        <v>12.27</v>
      </c>
      <c r="H10" s="67">
        <f>ROUND(897.51*2/E10,2)</f>
        <v>24.93</v>
      </c>
    </row>
    <row r="11" spans="1:8" s="13" customFormat="1" ht="7.5" customHeight="1">
      <c r="A11" s="80"/>
      <c r="B11" s="93"/>
      <c r="C11" s="21" t="s">
        <v>15</v>
      </c>
      <c r="D11" s="70" t="e">
        <f>#REF!+#REF!</f>
        <v>#REF!</v>
      </c>
      <c r="E11" s="80"/>
      <c r="F11" s="74" t="e">
        <f t="shared" si="0"/>
        <v>#REF!</v>
      </c>
      <c r="G11" s="100" t="e">
        <f t="shared" ref="G11:G64" si="1">ROUND(512.79/E11,2)</f>
        <v>#DIV/0!</v>
      </c>
      <c r="H11" s="67"/>
    </row>
    <row r="12" spans="1:8" s="13" customFormat="1" ht="15.95" customHeight="1">
      <c r="A12" s="14">
        <v>4</v>
      </c>
      <c r="B12" s="15" t="s">
        <v>726</v>
      </c>
      <c r="C12" s="16" t="s">
        <v>16</v>
      </c>
      <c r="D12" s="17">
        <v>4038.8</v>
      </c>
      <c r="E12" s="14">
        <v>73</v>
      </c>
      <c r="F12" s="18">
        <f t="shared" si="0"/>
        <v>13.83</v>
      </c>
      <c r="G12" s="19">
        <f>ROUND(441.63/E12,2)</f>
        <v>6.05</v>
      </c>
      <c r="H12" s="13">
        <f>ROUND(1009.71/E12,2)</f>
        <v>13.83</v>
      </c>
    </row>
    <row r="13" spans="1:8" s="13" customFormat="1" ht="15.95" customHeight="1">
      <c r="A13" s="14">
        <v>5</v>
      </c>
      <c r="B13" s="15" t="s">
        <v>7</v>
      </c>
      <c r="C13" s="16" t="s">
        <v>15</v>
      </c>
      <c r="D13" s="17">
        <f>3590</f>
        <v>3590</v>
      </c>
      <c r="E13" s="14">
        <v>61</v>
      </c>
      <c r="F13" s="18">
        <f t="shared" si="0"/>
        <v>14.71</v>
      </c>
      <c r="G13" s="19">
        <f>ROUND(441.63/E13,2)</f>
        <v>7.24</v>
      </c>
      <c r="H13" s="13">
        <f>ROUND(897.51/E13,2)</f>
        <v>14.71</v>
      </c>
    </row>
    <row r="14" spans="1:8" s="13" customFormat="1" ht="5.25" customHeight="1">
      <c r="A14" s="78">
        <v>6</v>
      </c>
      <c r="B14" s="92" t="s">
        <v>727</v>
      </c>
      <c r="C14" s="20" t="s">
        <v>15</v>
      </c>
      <c r="D14" s="69">
        <f>3590*3</f>
        <v>10770</v>
      </c>
      <c r="E14" s="78">
        <f>35+33+36</f>
        <v>104</v>
      </c>
      <c r="F14" s="73">
        <f t="shared" si="0"/>
        <v>25.89</v>
      </c>
      <c r="G14" s="76">
        <f>ROUND(441.63*3/E14,2)</f>
        <v>12.74</v>
      </c>
      <c r="H14" s="68">
        <f>ROUND(897.51*3/E14,2)</f>
        <v>25.89</v>
      </c>
    </row>
    <row r="15" spans="1:8" s="13" customFormat="1" ht="5.25" customHeight="1">
      <c r="A15" s="79"/>
      <c r="B15" s="98"/>
      <c r="C15" s="22" t="s">
        <v>49</v>
      </c>
      <c r="D15" s="77" t="e">
        <f>#REF!+#REF!</f>
        <v>#REF!</v>
      </c>
      <c r="E15" s="79"/>
      <c r="F15" s="81" t="e">
        <f t="shared" si="0"/>
        <v>#REF!</v>
      </c>
      <c r="G15" s="76" t="e">
        <f t="shared" si="1"/>
        <v>#DIV/0!</v>
      </c>
      <c r="H15" s="68"/>
    </row>
    <row r="16" spans="1:8" s="13" customFormat="1" ht="5.25" customHeight="1">
      <c r="A16" s="80"/>
      <c r="B16" s="93"/>
      <c r="C16" s="23" t="s">
        <v>49</v>
      </c>
      <c r="D16" s="70" t="e">
        <f>#REF!+#REF!</f>
        <v>#REF!</v>
      </c>
      <c r="E16" s="80"/>
      <c r="F16" s="74" t="e">
        <f t="shared" si="0"/>
        <v>#REF!</v>
      </c>
      <c r="G16" s="76" t="e">
        <f t="shared" si="1"/>
        <v>#DIV/0!</v>
      </c>
      <c r="H16" s="68"/>
    </row>
    <row r="17" spans="1:8" s="13" customFormat="1" ht="7.5" customHeight="1">
      <c r="A17" s="78">
        <v>7</v>
      </c>
      <c r="B17" s="92" t="s">
        <v>728</v>
      </c>
      <c r="C17" s="20" t="s">
        <v>15</v>
      </c>
      <c r="D17" s="69">
        <f>3590*2</f>
        <v>7180</v>
      </c>
      <c r="E17" s="78">
        <f>39+37</f>
        <v>76</v>
      </c>
      <c r="F17" s="73">
        <f t="shared" si="0"/>
        <v>23.62</v>
      </c>
      <c r="G17" s="100">
        <f>ROUND(441.63*2/E17,2)</f>
        <v>11.62</v>
      </c>
      <c r="H17" s="68">
        <f>ROUND(897.51*2/E17,2)</f>
        <v>23.62</v>
      </c>
    </row>
    <row r="18" spans="1:8" s="13" customFormat="1" ht="7.5" customHeight="1">
      <c r="A18" s="80"/>
      <c r="B18" s="93"/>
      <c r="C18" s="21" t="s">
        <v>15</v>
      </c>
      <c r="D18" s="70" t="e">
        <f>#REF!+#REF!</f>
        <v>#REF!</v>
      </c>
      <c r="E18" s="80"/>
      <c r="F18" s="74" t="e">
        <f t="shared" si="0"/>
        <v>#REF!</v>
      </c>
      <c r="G18" s="100" t="e">
        <f t="shared" si="1"/>
        <v>#DIV/0!</v>
      </c>
      <c r="H18" s="68"/>
    </row>
    <row r="19" spans="1:8" s="13" customFormat="1" ht="2.25" customHeight="1">
      <c r="A19" s="78">
        <v>8</v>
      </c>
      <c r="B19" s="92" t="s">
        <v>729</v>
      </c>
      <c r="C19" s="20" t="s">
        <v>15</v>
      </c>
      <c r="D19" s="69">
        <f>3590*6</f>
        <v>21540</v>
      </c>
      <c r="E19" s="78">
        <f>37+36+34+36+36+36</f>
        <v>215</v>
      </c>
      <c r="F19" s="73">
        <f t="shared" si="0"/>
        <v>25.05</v>
      </c>
      <c r="G19" s="76">
        <f>ROUND(441.63*6/E19,2)</f>
        <v>12.32</v>
      </c>
      <c r="H19" s="24">
        <f t="shared" ref="H19" si="2">ROUND(1212.9/E19,2)</f>
        <v>5.64</v>
      </c>
    </row>
    <row r="20" spans="1:8" s="13" customFormat="1" ht="2.25" customHeight="1">
      <c r="A20" s="79"/>
      <c r="B20" s="98"/>
      <c r="C20" s="22" t="s">
        <v>49</v>
      </c>
      <c r="D20" s="77" t="e">
        <f>#REF!+#REF!</f>
        <v>#REF!</v>
      </c>
      <c r="E20" s="79"/>
      <c r="F20" s="81" t="e">
        <f t="shared" si="0"/>
        <v>#REF!</v>
      </c>
      <c r="G20" s="76" t="e">
        <f t="shared" si="1"/>
        <v>#DIV/0!</v>
      </c>
      <c r="H20" s="68">
        <f>ROUND(897.51*6/E19,2)</f>
        <v>25.05</v>
      </c>
    </row>
    <row r="21" spans="1:8" s="13" customFormat="1" ht="2.65" customHeight="1">
      <c r="A21" s="79"/>
      <c r="B21" s="98"/>
      <c r="C21" s="22" t="s">
        <v>49</v>
      </c>
      <c r="D21" s="77" t="e">
        <f>#REF!+#REF!</f>
        <v>#REF!</v>
      </c>
      <c r="E21" s="79"/>
      <c r="F21" s="81" t="e">
        <f t="shared" si="0"/>
        <v>#REF!</v>
      </c>
      <c r="G21" s="76" t="e">
        <f t="shared" si="1"/>
        <v>#DIV/0!</v>
      </c>
      <c r="H21" s="68"/>
    </row>
    <row r="22" spans="1:8" s="13" customFormat="1" ht="2.65" customHeight="1">
      <c r="A22" s="79"/>
      <c r="B22" s="98"/>
      <c r="C22" s="22" t="s">
        <v>49</v>
      </c>
      <c r="D22" s="77" t="e">
        <f>#REF!+#REF!</f>
        <v>#REF!</v>
      </c>
      <c r="E22" s="79"/>
      <c r="F22" s="81" t="e">
        <f t="shared" si="0"/>
        <v>#REF!</v>
      </c>
      <c r="G22" s="76" t="e">
        <f t="shared" si="1"/>
        <v>#DIV/0!</v>
      </c>
      <c r="H22" s="68"/>
    </row>
    <row r="23" spans="1:8" s="13" customFormat="1" ht="2.65" customHeight="1">
      <c r="A23" s="79"/>
      <c r="B23" s="98"/>
      <c r="C23" s="22" t="s">
        <v>49</v>
      </c>
      <c r="D23" s="77" t="e">
        <f>#REF!+#REF!</f>
        <v>#REF!</v>
      </c>
      <c r="E23" s="79"/>
      <c r="F23" s="81" t="e">
        <f t="shared" si="0"/>
        <v>#REF!</v>
      </c>
      <c r="G23" s="76" t="e">
        <f t="shared" si="1"/>
        <v>#DIV/0!</v>
      </c>
      <c r="H23" s="68"/>
    </row>
    <row r="24" spans="1:8" s="13" customFormat="1" ht="3.75" customHeight="1">
      <c r="A24" s="80"/>
      <c r="B24" s="93"/>
      <c r="C24" s="22" t="s">
        <v>49</v>
      </c>
      <c r="D24" s="70" t="e">
        <f>#REF!+#REF!</f>
        <v>#REF!</v>
      </c>
      <c r="E24" s="80"/>
      <c r="F24" s="74" t="e">
        <f t="shared" si="0"/>
        <v>#REF!</v>
      </c>
      <c r="G24" s="76" t="e">
        <f t="shared" si="1"/>
        <v>#DIV/0!</v>
      </c>
      <c r="H24" s="68"/>
    </row>
    <row r="25" spans="1:8" s="13" customFormat="1" ht="5.45" customHeight="1">
      <c r="A25" s="78">
        <v>9</v>
      </c>
      <c r="B25" s="92" t="s">
        <v>730</v>
      </c>
      <c r="C25" s="20" t="s">
        <v>15</v>
      </c>
      <c r="D25" s="69">
        <f>3590*2+6410.8</f>
        <v>13590.8</v>
      </c>
      <c r="E25" s="78">
        <f>36+36</f>
        <v>72</v>
      </c>
      <c r="F25" s="73">
        <f t="shared" si="0"/>
        <v>47.19</v>
      </c>
      <c r="G25" s="75">
        <f>ROUND((441.63*2+705.6)/E25,2)</f>
        <v>22.07</v>
      </c>
      <c r="H25" s="68">
        <f>ROUND((897.51*2+1602.69)/E25,2)</f>
        <v>47.19</v>
      </c>
    </row>
    <row r="26" spans="1:8" s="13" customFormat="1" ht="5.45" customHeight="1">
      <c r="A26" s="79"/>
      <c r="B26" s="98"/>
      <c r="C26" s="22" t="s">
        <v>49</v>
      </c>
      <c r="D26" s="77" t="e">
        <f>#REF!+#REF!</f>
        <v>#REF!</v>
      </c>
      <c r="E26" s="79"/>
      <c r="F26" s="81" t="e">
        <f t="shared" si="0"/>
        <v>#REF!</v>
      </c>
      <c r="G26" s="75"/>
      <c r="H26" s="68"/>
    </row>
    <row r="27" spans="1:8" s="13" customFormat="1" ht="5.45" customHeight="1">
      <c r="A27" s="79"/>
      <c r="B27" s="98"/>
      <c r="C27" s="23" t="s">
        <v>156</v>
      </c>
      <c r="D27" s="70" t="e">
        <f>#REF!+#REF!</f>
        <v>#REF!</v>
      </c>
      <c r="E27" s="80"/>
      <c r="F27" s="74" t="e">
        <f t="shared" si="0"/>
        <v>#REF!</v>
      </c>
      <c r="G27" s="75"/>
      <c r="H27" s="68"/>
    </row>
    <row r="28" spans="1:8" s="13" customFormat="1" ht="15.95" customHeight="1">
      <c r="A28" s="14">
        <v>10</v>
      </c>
      <c r="B28" s="15" t="s">
        <v>8</v>
      </c>
      <c r="C28" s="16" t="s">
        <v>14</v>
      </c>
      <c r="D28" s="17">
        <v>4038.8</v>
      </c>
      <c r="E28" s="14">
        <v>143</v>
      </c>
      <c r="F28" s="18">
        <f t="shared" si="0"/>
        <v>7.06</v>
      </c>
      <c r="G28" s="19">
        <f>ROUND(441.63/E28,2)</f>
        <v>3.09</v>
      </c>
      <c r="H28" s="13">
        <f>ROUND(1009.71/E28,2)</f>
        <v>7.06</v>
      </c>
    </row>
    <row r="29" spans="1:8" s="13" customFormat="1" ht="15.95" customHeight="1">
      <c r="A29" s="14">
        <v>11</v>
      </c>
      <c r="B29" s="15" t="s">
        <v>9</v>
      </c>
      <c r="C29" s="16" t="s">
        <v>16</v>
      </c>
      <c r="D29" s="17">
        <f>4038.8</f>
        <v>4038.8</v>
      </c>
      <c r="E29" s="14">
        <v>90</v>
      </c>
      <c r="F29" s="18">
        <f t="shared" si="0"/>
        <v>11.22</v>
      </c>
      <c r="G29" s="19">
        <f>ROUND(441.63/E29,2)</f>
        <v>4.91</v>
      </c>
      <c r="H29" s="13">
        <f>ROUND(1009.71/E29,2)</f>
        <v>11.22</v>
      </c>
    </row>
    <row r="30" spans="1:8" s="13" customFormat="1" ht="5.45" customHeight="1">
      <c r="A30" s="78">
        <v>12</v>
      </c>
      <c r="B30" s="92" t="s">
        <v>10</v>
      </c>
      <c r="C30" s="22" t="s">
        <v>49</v>
      </c>
      <c r="D30" s="69">
        <f>3590*3</f>
        <v>10770</v>
      </c>
      <c r="E30" s="78">
        <f>35+38+36</f>
        <v>109</v>
      </c>
      <c r="F30" s="73">
        <f t="shared" si="0"/>
        <v>24.7</v>
      </c>
      <c r="G30" s="76">
        <f>ROUND(441.63*3/E30,2)</f>
        <v>12.15</v>
      </c>
      <c r="H30" s="67">
        <f>ROUND(897.51*3/E30,2)</f>
        <v>24.7</v>
      </c>
    </row>
    <row r="31" spans="1:8" s="13" customFormat="1" ht="5.45" customHeight="1">
      <c r="A31" s="79"/>
      <c r="B31" s="98"/>
      <c r="C31" s="22" t="s">
        <v>49</v>
      </c>
      <c r="D31" s="77" t="e">
        <f>#REF!+#REF!</f>
        <v>#REF!</v>
      </c>
      <c r="E31" s="79"/>
      <c r="F31" s="81" t="e">
        <f t="shared" si="0"/>
        <v>#REF!</v>
      </c>
      <c r="G31" s="76" t="e">
        <f t="shared" si="1"/>
        <v>#DIV/0!</v>
      </c>
      <c r="H31" s="67"/>
    </row>
    <row r="32" spans="1:8" s="13" customFormat="1" ht="5.45" customHeight="1">
      <c r="A32" s="80"/>
      <c r="B32" s="93"/>
      <c r="C32" s="22" t="s">
        <v>49</v>
      </c>
      <c r="D32" s="70" t="e">
        <f>#REF!+#REF!</f>
        <v>#REF!</v>
      </c>
      <c r="E32" s="80"/>
      <c r="F32" s="74" t="e">
        <f t="shared" si="0"/>
        <v>#REF!</v>
      </c>
      <c r="G32" s="76" t="e">
        <f t="shared" si="1"/>
        <v>#DIV/0!</v>
      </c>
      <c r="H32" s="67"/>
    </row>
    <row r="33" spans="1:8" s="13" customFormat="1" ht="15.95" customHeight="1">
      <c r="A33" s="14">
        <v>13</v>
      </c>
      <c r="B33" s="15" t="s">
        <v>11</v>
      </c>
      <c r="C33" s="16" t="s">
        <v>13</v>
      </c>
      <c r="D33" s="17">
        <f>4464</f>
        <v>4464</v>
      </c>
      <c r="E33" s="14">
        <v>72</v>
      </c>
      <c r="F33" s="18">
        <f t="shared" si="0"/>
        <v>15.5</v>
      </c>
      <c r="G33" s="19">
        <f>ROUND(451.2/E33,2)</f>
        <v>6.27</v>
      </c>
      <c r="H33" s="13">
        <f>ROUND(1116/E33,2)</f>
        <v>15.5</v>
      </c>
    </row>
    <row r="34" spans="1:8" s="13" customFormat="1" ht="5.45" customHeight="1">
      <c r="A34" s="78">
        <v>14</v>
      </c>
      <c r="B34" s="92" t="s">
        <v>17</v>
      </c>
      <c r="C34" s="20" t="s">
        <v>18</v>
      </c>
      <c r="D34" s="69">
        <f>2702.6*2+3590</f>
        <v>8995.2000000000007</v>
      </c>
      <c r="E34" s="78">
        <f>37+35+35</f>
        <v>107</v>
      </c>
      <c r="F34" s="73">
        <f t="shared" si="0"/>
        <v>21.02</v>
      </c>
      <c r="G34" s="76">
        <f>ROUND(441.63*3/E34,2)</f>
        <v>12.38</v>
      </c>
      <c r="H34" s="67">
        <f>ROUND((675.66*2+897.51)/E34,2)</f>
        <v>21.02</v>
      </c>
    </row>
    <row r="35" spans="1:8" s="13" customFormat="1" ht="5.45" customHeight="1">
      <c r="A35" s="79"/>
      <c r="B35" s="98"/>
      <c r="C35" s="22" t="s">
        <v>19</v>
      </c>
      <c r="D35" s="77" t="e">
        <f>#REF!+#REF!</f>
        <v>#REF!</v>
      </c>
      <c r="E35" s="79"/>
      <c r="F35" s="81" t="e">
        <f t="shared" si="0"/>
        <v>#REF!</v>
      </c>
      <c r="G35" s="76" t="e">
        <f t="shared" si="1"/>
        <v>#DIV/0!</v>
      </c>
      <c r="H35" s="67"/>
    </row>
    <row r="36" spans="1:8" s="13" customFormat="1" ht="5.45" customHeight="1">
      <c r="A36" s="80"/>
      <c r="B36" s="93"/>
      <c r="C36" s="23" t="s">
        <v>20</v>
      </c>
      <c r="D36" s="70" t="e">
        <f>#REF!+#REF!</f>
        <v>#REF!</v>
      </c>
      <c r="E36" s="80"/>
      <c r="F36" s="74" t="e">
        <f t="shared" si="0"/>
        <v>#REF!</v>
      </c>
      <c r="G36" s="76" t="e">
        <f t="shared" si="1"/>
        <v>#DIV/0!</v>
      </c>
      <c r="H36" s="67"/>
    </row>
    <row r="37" spans="1:8" s="13" customFormat="1" ht="15.75" customHeight="1">
      <c r="A37" s="25">
        <v>15</v>
      </c>
      <c r="B37" s="15" t="s">
        <v>21</v>
      </c>
      <c r="C37" s="16" t="s">
        <v>16</v>
      </c>
      <c r="D37" s="17">
        <f>4038.8</f>
        <v>4038.8</v>
      </c>
      <c r="E37" s="25">
        <v>45</v>
      </c>
      <c r="F37" s="18">
        <f t="shared" si="0"/>
        <v>22.44</v>
      </c>
      <c r="G37" s="26">
        <f>ROUND(441.63/E37,2)</f>
        <v>9.81</v>
      </c>
      <c r="H37" s="13">
        <f>ROUND(1009.71/E37,2)</f>
        <v>22.44</v>
      </c>
    </row>
    <row r="38" spans="1:8" s="13" customFormat="1" ht="5.45" customHeight="1">
      <c r="A38" s="78">
        <v>16</v>
      </c>
      <c r="B38" s="92" t="s">
        <v>22</v>
      </c>
      <c r="C38" s="20" t="s">
        <v>15</v>
      </c>
      <c r="D38" s="69">
        <f>3590*3</f>
        <v>10770</v>
      </c>
      <c r="E38" s="78">
        <f>40+39+40</f>
        <v>119</v>
      </c>
      <c r="F38" s="73">
        <f t="shared" si="0"/>
        <v>22.63</v>
      </c>
      <c r="G38" s="76">
        <f>ROUND(441.63*3/E38,2)</f>
        <v>11.13</v>
      </c>
      <c r="H38" s="67">
        <f>ROUND(897.51*3/E38,2)</f>
        <v>22.63</v>
      </c>
    </row>
    <row r="39" spans="1:8" s="13" customFormat="1" ht="5.45" customHeight="1">
      <c r="A39" s="79"/>
      <c r="B39" s="98"/>
      <c r="C39" s="22" t="s">
        <v>49</v>
      </c>
      <c r="D39" s="77" t="e">
        <f>#REF!+#REF!</f>
        <v>#REF!</v>
      </c>
      <c r="E39" s="79"/>
      <c r="F39" s="81" t="e">
        <f t="shared" si="0"/>
        <v>#REF!</v>
      </c>
      <c r="G39" s="76" t="e">
        <f t="shared" si="1"/>
        <v>#DIV/0!</v>
      </c>
      <c r="H39" s="67"/>
    </row>
    <row r="40" spans="1:8" s="13" customFormat="1" ht="5.45" customHeight="1">
      <c r="A40" s="80"/>
      <c r="B40" s="93"/>
      <c r="C40" s="23" t="s">
        <v>49</v>
      </c>
      <c r="D40" s="70" t="e">
        <f>#REF!+#REF!</f>
        <v>#REF!</v>
      </c>
      <c r="E40" s="80"/>
      <c r="F40" s="74" t="e">
        <f t="shared" si="0"/>
        <v>#REF!</v>
      </c>
      <c r="G40" s="76" t="e">
        <f t="shared" si="1"/>
        <v>#DIV/0!</v>
      </c>
      <c r="H40" s="67"/>
    </row>
    <row r="41" spans="1:8" s="13" customFormat="1" ht="15.95" customHeight="1">
      <c r="A41" s="27">
        <v>17</v>
      </c>
      <c r="B41" s="15" t="s">
        <v>2</v>
      </c>
      <c r="C41" s="16" t="s">
        <v>14</v>
      </c>
      <c r="D41" s="17">
        <f>4038.8</f>
        <v>4038.8</v>
      </c>
      <c r="E41" s="28">
        <v>60</v>
      </c>
      <c r="F41" s="18">
        <f t="shared" si="0"/>
        <v>16.829999999999998</v>
      </c>
      <c r="G41" s="19">
        <f>ROUND(441.63/E41,2)</f>
        <v>7.36</v>
      </c>
      <c r="H41" s="13">
        <f>ROUND(1009.71/E41,2)</f>
        <v>16.829999999999998</v>
      </c>
    </row>
    <row r="42" spans="1:8" s="13" customFormat="1" ht="15.95" customHeight="1">
      <c r="A42" s="27">
        <v>18</v>
      </c>
      <c r="B42" s="15" t="s">
        <v>23</v>
      </c>
      <c r="C42" s="16" t="s">
        <v>24</v>
      </c>
      <c r="D42" s="17">
        <v>3590</v>
      </c>
      <c r="E42" s="29">
        <v>31</v>
      </c>
      <c r="F42" s="18">
        <f t="shared" si="0"/>
        <v>28.95</v>
      </c>
      <c r="G42" s="19">
        <f>ROUND(441.63/E42,2)</f>
        <v>14.25</v>
      </c>
      <c r="H42" s="13">
        <f>ROUND(897.51/E42,2)</f>
        <v>28.95</v>
      </c>
    </row>
    <row r="43" spans="1:8" s="13" customFormat="1" ht="15.95" customHeight="1">
      <c r="A43" s="27">
        <v>19</v>
      </c>
      <c r="B43" s="15" t="s">
        <v>25</v>
      </c>
      <c r="C43" s="16" t="s">
        <v>15</v>
      </c>
      <c r="D43" s="17">
        <f>3590</f>
        <v>3590</v>
      </c>
      <c r="E43" s="29">
        <v>35</v>
      </c>
      <c r="F43" s="18">
        <f t="shared" si="0"/>
        <v>25.64</v>
      </c>
      <c r="G43" s="19">
        <f>ROUND(441.63/E43,2)</f>
        <v>12.62</v>
      </c>
      <c r="H43" s="13">
        <f>ROUND(897.51/E43,2)</f>
        <v>25.64</v>
      </c>
    </row>
    <row r="44" spans="1:8" s="13" customFormat="1" ht="15.95" customHeight="1">
      <c r="A44" s="27">
        <v>20</v>
      </c>
      <c r="B44" s="15" t="s">
        <v>26</v>
      </c>
      <c r="C44" s="30" t="s">
        <v>27</v>
      </c>
      <c r="D44" s="17">
        <v>3590</v>
      </c>
      <c r="E44" s="29">
        <v>77</v>
      </c>
      <c r="F44" s="18">
        <f t="shared" si="0"/>
        <v>11.66</v>
      </c>
      <c r="G44" s="19">
        <f>ROUND(469.47/E44,2)</f>
        <v>6.1</v>
      </c>
      <c r="H44" s="13">
        <f>ROUND(897.51/E44,2)</f>
        <v>11.66</v>
      </c>
    </row>
    <row r="45" spans="1:8" s="13" customFormat="1" ht="15.95" customHeight="1">
      <c r="A45" s="27">
        <v>21</v>
      </c>
      <c r="B45" s="31" t="s">
        <v>28</v>
      </c>
      <c r="C45" s="16" t="s">
        <v>18</v>
      </c>
      <c r="D45" s="17">
        <v>2702.6</v>
      </c>
      <c r="E45" s="29">
        <v>11</v>
      </c>
      <c r="F45" s="18">
        <f t="shared" si="0"/>
        <v>61.42</v>
      </c>
      <c r="G45" s="19">
        <f>ROUND(441.63/E45,2)</f>
        <v>40.15</v>
      </c>
      <c r="H45" s="13">
        <f>ROUND(675.66/E45,2)</f>
        <v>61.42</v>
      </c>
    </row>
    <row r="46" spans="1:8" s="13" customFormat="1" ht="15.95" customHeight="1">
      <c r="A46" s="27">
        <v>22</v>
      </c>
      <c r="B46" s="31" t="s">
        <v>29</v>
      </c>
      <c r="C46" s="16" t="s">
        <v>15</v>
      </c>
      <c r="D46" s="17">
        <v>3590</v>
      </c>
      <c r="E46" s="29">
        <v>40</v>
      </c>
      <c r="F46" s="18">
        <f t="shared" si="0"/>
        <v>22.44</v>
      </c>
      <c r="G46" s="19">
        <f>ROUND(441.63/E46,2)</f>
        <v>11.04</v>
      </c>
      <c r="H46" s="13">
        <f>ROUND(897.51/E46,2)</f>
        <v>22.44</v>
      </c>
    </row>
    <row r="47" spans="1:8" s="13" customFormat="1" ht="15.95" customHeight="1">
      <c r="A47" s="27">
        <v>23</v>
      </c>
      <c r="B47" s="31" t="s">
        <v>30</v>
      </c>
      <c r="C47" s="16" t="s">
        <v>24</v>
      </c>
      <c r="D47" s="17">
        <v>3590</v>
      </c>
      <c r="E47" s="29">
        <v>46</v>
      </c>
      <c r="F47" s="18">
        <f t="shared" si="0"/>
        <v>19.510000000000002</v>
      </c>
      <c r="G47" s="19">
        <f t="shared" ref="G47:G48" si="3">ROUND(441.63/E47,2)</f>
        <v>9.6</v>
      </c>
      <c r="H47" s="13">
        <f t="shared" ref="H47:H50" si="4">ROUND(897.51/E47,2)</f>
        <v>19.510000000000002</v>
      </c>
    </row>
    <row r="48" spans="1:8" s="13" customFormat="1" ht="15.95" customHeight="1">
      <c r="A48" s="27">
        <v>24</v>
      </c>
      <c r="B48" s="31" t="s">
        <v>31</v>
      </c>
      <c r="C48" s="16" t="s">
        <v>24</v>
      </c>
      <c r="D48" s="17">
        <v>3590</v>
      </c>
      <c r="E48" s="28">
        <v>63</v>
      </c>
      <c r="F48" s="18">
        <f t="shared" si="0"/>
        <v>14.25</v>
      </c>
      <c r="G48" s="19">
        <f t="shared" si="3"/>
        <v>7.01</v>
      </c>
      <c r="H48" s="13">
        <f t="shared" si="4"/>
        <v>14.25</v>
      </c>
    </row>
    <row r="49" spans="1:8" s="13" customFormat="1" ht="15.95" customHeight="1">
      <c r="A49" s="27">
        <v>25</v>
      </c>
      <c r="B49" s="31" t="s">
        <v>32</v>
      </c>
      <c r="C49" s="30" t="s">
        <v>164</v>
      </c>
      <c r="D49" s="17">
        <v>3590</v>
      </c>
      <c r="E49" s="29">
        <v>71</v>
      </c>
      <c r="F49" s="18">
        <f t="shared" si="0"/>
        <v>12.64</v>
      </c>
      <c r="G49" s="19">
        <f>ROUND(469.47/E49,2)</f>
        <v>6.61</v>
      </c>
      <c r="H49" s="13">
        <f t="shared" si="4"/>
        <v>12.64</v>
      </c>
    </row>
    <row r="50" spans="1:8" s="13" customFormat="1" ht="15.95" customHeight="1">
      <c r="A50" s="27">
        <v>26</v>
      </c>
      <c r="B50" s="31" t="s">
        <v>33</v>
      </c>
      <c r="C50" s="16" t="s">
        <v>15</v>
      </c>
      <c r="D50" s="17">
        <v>3590</v>
      </c>
      <c r="E50" s="29">
        <v>40</v>
      </c>
      <c r="F50" s="18">
        <f t="shared" si="0"/>
        <v>22.44</v>
      </c>
      <c r="G50" s="19">
        <f>ROUND(441.63/E50,2)</f>
        <v>11.04</v>
      </c>
      <c r="H50" s="13">
        <f t="shared" si="4"/>
        <v>22.44</v>
      </c>
    </row>
    <row r="51" spans="1:8" s="13" customFormat="1" ht="15.95" customHeight="1">
      <c r="A51" s="27">
        <v>27</v>
      </c>
      <c r="B51" s="31" t="s">
        <v>34</v>
      </c>
      <c r="C51" s="16" t="s">
        <v>35</v>
      </c>
      <c r="D51" s="17">
        <v>4038.8</v>
      </c>
      <c r="E51" s="29">
        <v>71</v>
      </c>
      <c r="F51" s="18">
        <f t="shared" si="0"/>
        <v>14.22</v>
      </c>
      <c r="G51" s="19">
        <f>ROUND(441.63/E51,2)</f>
        <v>6.22</v>
      </c>
      <c r="H51" s="13">
        <f t="shared" ref="H51:H97" si="5">ROUND(1009.71/E51,2)</f>
        <v>14.22</v>
      </c>
    </row>
    <row r="52" spans="1:8" s="13" customFormat="1" ht="8.1" customHeight="1">
      <c r="A52" s="90">
        <v>28</v>
      </c>
      <c r="B52" s="92" t="s">
        <v>731</v>
      </c>
      <c r="C52" s="20" t="s">
        <v>24</v>
      </c>
      <c r="D52" s="69">
        <f>3590+2702.6</f>
        <v>6292.6</v>
      </c>
      <c r="E52" s="71">
        <f>28+20</f>
        <v>48</v>
      </c>
      <c r="F52" s="73">
        <f t="shared" si="0"/>
        <v>32.770000000000003</v>
      </c>
      <c r="G52" s="76">
        <f>ROUND(441.63*2/E52,2)</f>
        <v>18.399999999999999</v>
      </c>
      <c r="H52" s="67">
        <f>ROUND((897.51+675.66)/E52,2)</f>
        <v>32.770000000000003</v>
      </c>
    </row>
    <row r="53" spans="1:8" s="13" customFormat="1" ht="8.1" customHeight="1">
      <c r="A53" s="91"/>
      <c r="B53" s="93"/>
      <c r="C53" s="23" t="s">
        <v>20</v>
      </c>
      <c r="D53" s="70" t="e">
        <f>#REF!+#REF!</f>
        <v>#REF!</v>
      </c>
      <c r="E53" s="72"/>
      <c r="F53" s="74" t="e">
        <f t="shared" si="0"/>
        <v>#REF!</v>
      </c>
      <c r="G53" s="76" t="e">
        <f t="shared" si="1"/>
        <v>#DIV/0!</v>
      </c>
      <c r="H53" s="67"/>
    </row>
    <row r="54" spans="1:8" s="13" customFormat="1" ht="15.95" customHeight="1">
      <c r="A54" s="27">
        <v>29</v>
      </c>
      <c r="B54" s="31" t="s">
        <v>36</v>
      </c>
      <c r="C54" s="16" t="s">
        <v>15</v>
      </c>
      <c r="D54" s="17">
        <v>3590</v>
      </c>
      <c r="E54" s="29">
        <v>39</v>
      </c>
      <c r="F54" s="18">
        <f t="shared" si="0"/>
        <v>23.01</v>
      </c>
      <c r="G54" s="19">
        <f>ROUND(441.63/E54,2)</f>
        <v>11.32</v>
      </c>
      <c r="H54" s="13">
        <f>ROUND(897.51/E54,2)</f>
        <v>23.01</v>
      </c>
    </row>
    <row r="55" spans="1:8" s="13" customFormat="1" ht="15.95" customHeight="1">
      <c r="A55" s="27">
        <v>30</v>
      </c>
      <c r="B55" s="31" t="s">
        <v>37</v>
      </c>
      <c r="C55" s="23" t="s">
        <v>20</v>
      </c>
      <c r="D55" s="17">
        <v>2702.6</v>
      </c>
      <c r="E55" s="28">
        <v>32</v>
      </c>
      <c r="F55" s="18">
        <f t="shared" si="0"/>
        <v>21.11</v>
      </c>
      <c r="G55" s="19">
        <f>ROUND(441.63/E55,2)</f>
        <v>13.8</v>
      </c>
      <c r="H55" s="13">
        <f>ROUND(675.66/E55,2)</f>
        <v>21.11</v>
      </c>
    </row>
    <row r="56" spans="1:8" s="13" customFormat="1" ht="15.95" customHeight="1">
      <c r="A56" s="27">
        <v>31</v>
      </c>
      <c r="B56" s="31" t="s">
        <v>38</v>
      </c>
      <c r="C56" s="30" t="s">
        <v>39</v>
      </c>
      <c r="D56" s="17">
        <v>4038.8</v>
      </c>
      <c r="E56" s="29">
        <v>38</v>
      </c>
      <c r="F56" s="18">
        <f t="shared" si="0"/>
        <v>26.57</v>
      </c>
      <c r="G56" s="19">
        <f>ROUND(469.47/E56,2)</f>
        <v>12.35</v>
      </c>
      <c r="H56" s="32">
        <f t="shared" si="5"/>
        <v>26.57</v>
      </c>
    </row>
    <row r="57" spans="1:8" s="13" customFormat="1" ht="8.1" customHeight="1">
      <c r="A57" s="90">
        <v>32</v>
      </c>
      <c r="B57" s="92" t="s">
        <v>732</v>
      </c>
      <c r="C57" s="33" t="s">
        <v>40</v>
      </c>
      <c r="D57" s="69">
        <f>3590*2</f>
        <v>7180</v>
      </c>
      <c r="E57" s="71">
        <f>40+40</f>
        <v>80</v>
      </c>
      <c r="F57" s="73">
        <f t="shared" si="0"/>
        <v>22.44</v>
      </c>
      <c r="G57" s="100">
        <f>ROUND(469.47*2/E57,2)</f>
        <v>11.74</v>
      </c>
      <c r="H57" s="67">
        <f>ROUND(897.51*2/E57,2)</f>
        <v>22.44</v>
      </c>
    </row>
    <row r="58" spans="1:8" s="13" customFormat="1" ht="8.1" customHeight="1">
      <c r="A58" s="91"/>
      <c r="B58" s="93"/>
      <c r="C58" s="34" t="s">
        <v>40</v>
      </c>
      <c r="D58" s="70" t="e">
        <f>#REF!+#REF!</f>
        <v>#REF!</v>
      </c>
      <c r="E58" s="72"/>
      <c r="F58" s="74" t="e">
        <f t="shared" si="0"/>
        <v>#REF!</v>
      </c>
      <c r="G58" s="100" t="e">
        <f t="shared" si="1"/>
        <v>#DIV/0!</v>
      </c>
      <c r="H58" s="67"/>
    </row>
    <row r="59" spans="1:8" s="13" customFormat="1" ht="15.95" customHeight="1">
      <c r="A59" s="27">
        <v>33</v>
      </c>
      <c r="B59" s="31" t="s">
        <v>41</v>
      </c>
      <c r="C59" s="16" t="s">
        <v>15</v>
      </c>
      <c r="D59" s="17">
        <v>3590</v>
      </c>
      <c r="E59" s="29">
        <v>35</v>
      </c>
      <c r="F59" s="18">
        <f t="shared" si="0"/>
        <v>25.64</v>
      </c>
      <c r="G59" s="19">
        <f>ROUND(441.63/E59,2)</f>
        <v>12.62</v>
      </c>
      <c r="H59" s="32">
        <f>ROUND(897.51/E59,2)</f>
        <v>25.64</v>
      </c>
    </row>
    <row r="60" spans="1:8" s="13" customFormat="1" ht="15.95" customHeight="1">
      <c r="A60" s="27">
        <v>34</v>
      </c>
      <c r="B60" s="31" t="s">
        <v>42</v>
      </c>
      <c r="C60" s="35" t="s">
        <v>43</v>
      </c>
      <c r="D60" s="17">
        <v>2702.6</v>
      </c>
      <c r="E60" s="29">
        <v>37</v>
      </c>
      <c r="F60" s="18">
        <f t="shared" si="0"/>
        <v>18.260000000000002</v>
      </c>
      <c r="G60" s="19">
        <f>ROUND(467.97/E60,2)</f>
        <v>12.65</v>
      </c>
      <c r="H60" s="32">
        <f>ROUND(675.66/E60,2)</f>
        <v>18.260000000000002</v>
      </c>
    </row>
    <row r="61" spans="1:8" s="13" customFormat="1" ht="15.95" customHeight="1">
      <c r="A61" s="27">
        <v>35</v>
      </c>
      <c r="B61" s="31" t="s">
        <v>44</v>
      </c>
      <c r="C61" s="16" t="s">
        <v>45</v>
      </c>
      <c r="D61" s="17">
        <v>4464</v>
      </c>
      <c r="E61" s="29">
        <v>115</v>
      </c>
      <c r="F61" s="18">
        <f t="shared" si="0"/>
        <v>9.6999999999999993</v>
      </c>
      <c r="G61" s="19">
        <f>ROUND(482.49/E61,2)</f>
        <v>4.2</v>
      </c>
      <c r="H61" s="32">
        <f>ROUND(1116/E61,2)</f>
        <v>9.6999999999999993</v>
      </c>
    </row>
    <row r="62" spans="1:8" s="13" customFormat="1" ht="15.75" customHeight="1">
      <c r="A62" s="27">
        <v>36</v>
      </c>
      <c r="B62" s="31" t="s">
        <v>46</v>
      </c>
      <c r="C62" s="16" t="s">
        <v>18</v>
      </c>
      <c r="D62" s="17">
        <v>2702.6</v>
      </c>
      <c r="E62" s="29">
        <v>14</v>
      </c>
      <c r="F62" s="18">
        <f t="shared" si="0"/>
        <v>48.26</v>
      </c>
      <c r="G62" s="19">
        <f>ROUND(441.63/E62,2)</f>
        <v>31.55</v>
      </c>
      <c r="H62" s="32">
        <f>ROUND(675.66/E62,2)</f>
        <v>48.26</v>
      </c>
    </row>
    <row r="63" spans="1:8" s="13" customFormat="1" ht="8.1" customHeight="1">
      <c r="A63" s="90">
        <v>37</v>
      </c>
      <c r="B63" s="92" t="s">
        <v>733</v>
      </c>
      <c r="C63" s="20" t="s">
        <v>15</v>
      </c>
      <c r="D63" s="69">
        <f>3590*2</f>
        <v>7180</v>
      </c>
      <c r="E63" s="71">
        <f>55+57</f>
        <v>112</v>
      </c>
      <c r="F63" s="73">
        <f t="shared" si="0"/>
        <v>16.03</v>
      </c>
      <c r="G63" s="76">
        <f>ROUND(441.63*2/E63,2)</f>
        <v>7.89</v>
      </c>
      <c r="H63" s="67">
        <f>ROUND(897.51*2/E63,2)</f>
        <v>16.03</v>
      </c>
    </row>
    <row r="64" spans="1:8" s="13" customFormat="1" ht="8.1" customHeight="1">
      <c r="A64" s="91"/>
      <c r="B64" s="93"/>
      <c r="C64" s="21" t="s">
        <v>15</v>
      </c>
      <c r="D64" s="70" t="e">
        <f>#REF!+#REF!</f>
        <v>#REF!</v>
      </c>
      <c r="E64" s="72"/>
      <c r="F64" s="74" t="e">
        <f t="shared" si="0"/>
        <v>#REF!</v>
      </c>
      <c r="G64" s="76" t="e">
        <f t="shared" si="1"/>
        <v>#DIV/0!</v>
      </c>
      <c r="H64" s="67"/>
    </row>
    <row r="65" spans="1:8" s="13" customFormat="1" ht="15.95" customHeight="1">
      <c r="A65" s="27">
        <v>38</v>
      </c>
      <c r="B65" s="31" t="s">
        <v>47</v>
      </c>
      <c r="C65" s="16" t="s">
        <v>49</v>
      </c>
      <c r="D65" s="17">
        <f>3590</f>
        <v>3590</v>
      </c>
      <c r="E65" s="29">
        <v>39</v>
      </c>
      <c r="F65" s="18">
        <f t="shared" si="0"/>
        <v>23.01</v>
      </c>
      <c r="G65" s="26">
        <f>ROUND(441.63/E65,2)</f>
        <v>11.32</v>
      </c>
      <c r="H65" s="13">
        <f>ROUND(897.51/E65,2)</f>
        <v>23.01</v>
      </c>
    </row>
    <row r="66" spans="1:8" s="13" customFormat="1" ht="15.95" customHeight="1">
      <c r="A66" s="27">
        <v>39</v>
      </c>
      <c r="B66" s="31" t="s">
        <v>48</v>
      </c>
      <c r="C66" s="16" t="s">
        <v>16</v>
      </c>
      <c r="D66" s="17">
        <f>4038.8</f>
        <v>4038.8</v>
      </c>
      <c r="E66" s="29">
        <v>47</v>
      </c>
      <c r="F66" s="18">
        <f t="shared" si="0"/>
        <v>21.48</v>
      </c>
      <c r="G66" s="26">
        <f t="shared" ref="G66:G68" si="6">ROUND(441.63/E66,2)</f>
        <v>9.4</v>
      </c>
      <c r="H66" s="13">
        <f>ROUND(1009.71/E66,2)</f>
        <v>21.48</v>
      </c>
    </row>
    <row r="67" spans="1:8" s="13" customFormat="1" ht="15.95" customHeight="1">
      <c r="A67" s="27">
        <v>40</v>
      </c>
      <c r="B67" s="31" t="s">
        <v>50</v>
      </c>
      <c r="C67" s="16" t="s">
        <v>49</v>
      </c>
      <c r="D67" s="17">
        <v>3590</v>
      </c>
      <c r="E67" s="29">
        <v>43</v>
      </c>
      <c r="F67" s="18">
        <f t="shared" si="0"/>
        <v>20.87</v>
      </c>
      <c r="G67" s="26">
        <f t="shared" si="6"/>
        <v>10.27</v>
      </c>
      <c r="H67" s="13">
        <f>ROUND(897.51/E67,2)</f>
        <v>20.87</v>
      </c>
    </row>
    <row r="68" spans="1:8" s="13" customFormat="1" ht="15.95" customHeight="1">
      <c r="A68" s="27">
        <v>41</v>
      </c>
      <c r="B68" s="31" t="s">
        <v>51</v>
      </c>
      <c r="C68" s="16" t="s">
        <v>16</v>
      </c>
      <c r="D68" s="17">
        <v>4038.8</v>
      </c>
      <c r="E68" s="29">
        <v>27</v>
      </c>
      <c r="F68" s="18">
        <f t="shared" si="0"/>
        <v>37.4</v>
      </c>
      <c r="G68" s="26">
        <f t="shared" si="6"/>
        <v>16.36</v>
      </c>
      <c r="H68" s="13">
        <f t="shared" si="5"/>
        <v>37.4</v>
      </c>
    </row>
    <row r="69" spans="1:8" s="13" customFormat="1" ht="15.95" customHeight="1">
      <c r="A69" s="27">
        <v>42</v>
      </c>
      <c r="B69" s="31" t="s">
        <v>52</v>
      </c>
      <c r="C69" s="20" t="s">
        <v>24</v>
      </c>
      <c r="D69" s="17">
        <v>3590</v>
      </c>
      <c r="E69" s="29">
        <v>30</v>
      </c>
      <c r="F69" s="18">
        <f t="shared" si="0"/>
        <v>29.92</v>
      </c>
      <c r="G69" s="19">
        <f t="shared" ref="G69:G76" si="7">ROUND(441.63/E69,2)</f>
        <v>14.72</v>
      </c>
      <c r="H69" s="13">
        <f>ROUND(897.51/E69,2)</f>
        <v>29.92</v>
      </c>
    </row>
    <row r="70" spans="1:8" s="13" customFormat="1" ht="15.95" customHeight="1">
      <c r="A70" s="27">
        <v>43</v>
      </c>
      <c r="B70" s="36" t="s">
        <v>739</v>
      </c>
      <c r="C70" s="16" t="s">
        <v>14</v>
      </c>
      <c r="D70" s="17">
        <v>4038.8</v>
      </c>
      <c r="E70" s="28">
        <v>36</v>
      </c>
      <c r="F70" s="18">
        <f t="shared" si="0"/>
        <v>28.05</v>
      </c>
      <c r="G70" s="37">
        <f t="shared" si="7"/>
        <v>12.27</v>
      </c>
      <c r="H70" s="13">
        <f t="shared" si="5"/>
        <v>28.05</v>
      </c>
    </row>
    <row r="71" spans="1:8" s="13" customFormat="1" ht="15.95" customHeight="1">
      <c r="A71" s="27">
        <v>44</v>
      </c>
      <c r="B71" s="31" t="s">
        <v>53</v>
      </c>
      <c r="C71" s="38" t="s">
        <v>20</v>
      </c>
      <c r="D71" s="17">
        <v>2702.6</v>
      </c>
      <c r="E71" s="29">
        <v>10</v>
      </c>
      <c r="F71" s="18">
        <f t="shared" si="0"/>
        <v>67.569999999999993</v>
      </c>
      <c r="G71" s="26">
        <f>ROUND(441.63/E71,2)</f>
        <v>44.16</v>
      </c>
      <c r="H71" s="13">
        <f>ROUND(675.66/E71,2)</f>
        <v>67.569999999999993</v>
      </c>
    </row>
    <row r="72" spans="1:8" s="13" customFormat="1" ht="15.95" customHeight="1">
      <c r="A72" s="27">
        <v>45</v>
      </c>
      <c r="B72" s="31" t="s">
        <v>54</v>
      </c>
      <c r="C72" s="20" t="s">
        <v>18</v>
      </c>
      <c r="D72" s="17">
        <v>2702.6</v>
      </c>
      <c r="E72" s="29">
        <v>3</v>
      </c>
      <c r="F72" s="18">
        <f t="shared" ref="F72:F75" si="8">ROUND(D72/E72/4,2)</f>
        <v>225.22</v>
      </c>
      <c r="G72" s="37">
        <f t="shared" si="7"/>
        <v>147.21</v>
      </c>
      <c r="H72" s="13">
        <f t="shared" ref="H72:H73" si="9">ROUND(675.66/E72,2)</f>
        <v>225.22</v>
      </c>
    </row>
    <row r="73" spans="1:8" s="13" customFormat="1" ht="15.95" customHeight="1">
      <c r="A73" s="27">
        <v>46</v>
      </c>
      <c r="B73" s="31" t="s">
        <v>55</v>
      </c>
      <c r="C73" s="20" t="s">
        <v>18</v>
      </c>
      <c r="D73" s="17">
        <v>2702.6</v>
      </c>
      <c r="E73" s="29">
        <v>11</v>
      </c>
      <c r="F73" s="18">
        <f t="shared" si="8"/>
        <v>61.42</v>
      </c>
      <c r="G73" s="37">
        <f t="shared" si="7"/>
        <v>40.15</v>
      </c>
      <c r="H73" s="13">
        <f t="shared" si="9"/>
        <v>61.42</v>
      </c>
    </row>
    <row r="74" spans="1:8" s="13" customFormat="1" ht="8.1" customHeight="1">
      <c r="A74" s="90">
        <v>47</v>
      </c>
      <c r="B74" s="92" t="s">
        <v>734</v>
      </c>
      <c r="C74" s="20" t="s">
        <v>24</v>
      </c>
      <c r="D74" s="69">
        <f>3590*2</f>
        <v>7180</v>
      </c>
      <c r="E74" s="71">
        <f>44+43</f>
        <v>87</v>
      </c>
      <c r="F74" s="73">
        <f t="shared" si="8"/>
        <v>20.63</v>
      </c>
      <c r="G74" s="76">
        <f>ROUND(441.63*2/E74,2)</f>
        <v>10.15</v>
      </c>
      <c r="H74" s="67">
        <f>ROUND(897.51*2/E74,2)</f>
        <v>20.63</v>
      </c>
    </row>
    <row r="75" spans="1:8" s="13" customFormat="1" ht="8.1" customHeight="1">
      <c r="A75" s="91"/>
      <c r="B75" s="93"/>
      <c r="C75" s="21" t="s">
        <v>24</v>
      </c>
      <c r="D75" s="70" t="e">
        <f>#REF!+#REF!</f>
        <v>#REF!</v>
      </c>
      <c r="E75" s="72"/>
      <c r="F75" s="74" t="e">
        <f t="shared" si="8"/>
        <v>#REF!</v>
      </c>
      <c r="G75" s="76"/>
      <c r="H75" s="67"/>
    </row>
    <row r="76" spans="1:8" s="13" customFormat="1" ht="15.95" customHeight="1">
      <c r="A76" s="27">
        <v>48</v>
      </c>
      <c r="B76" s="31" t="s">
        <v>56</v>
      </c>
      <c r="C76" s="16" t="s">
        <v>57</v>
      </c>
      <c r="D76" s="17">
        <v>2508.8000000000002</v>
      </c>
      <c r="E76" s="29">
        <v>7</v>
      </c>
      <c r="F76" s="18">
        <f>ROUND(D76/E76/4,2)</f>
        <v>89.6</v>
      </c>
      <c r="G76" s="37">
        <f t="shared" si="7"/>
        <v>63.09</v>
      </c>
      <c r="H76" s="13">
        <f>ROUND(627.21/E76,2)</f>
        <v>89.6</v>
      </c>
    </row>
    <row r="77" spans="1:8" s="13" customFormat="1" ht="8.1" customHeight="1">
      <c r="A77" s="90">
        <v>49</v>
      </c>
      <c r="B77" s="92" t="s">
        <v>735</v>
      </c>
      <c r="C77" s="20" t="s">
        <v>15</v>
      </c>
      <c r="D77" s="69">
        <f>3590+2702.6</f>
        <v>6292.6</v>
      </c>
      <c r="E77" s="71">
        <f>26+36</f>
        <v>62</v>
      </c>
      <c r="F77" s="73">
        <f t="shared" ref="F77:F140" si="10">ROUND(D77/E77/4,2)</f>
        <v>25.37</v>
      </c>
      <c r="G77" s="76">
        <f>ROUND(441.63*2/E77,2)</f>
        <v>14.25</v>
      </c>
      <c r="H77" s="67">
        <f>ROUND((897.51+675.66)/E77,2)</f>
        <v>25.37</v>
      </c>
    </row>
    <row r="78" spans="1:8" s="13" customFormat="1" ht="8.1" customHeight="1">
      <c r="A78" s="91"/>
      <c r="B78" s="93"/>
      <c r="C78" s="23" t="s">
        <v>58</v>
      </c>
      <c r="D78" s="70" t="e">
        <f>#REF!+#REF!</f>
        <v>#REF!</v>
      </c>
      <c r="E78" s="72"/>
      <c r="F78" s="74" t="e">
        <f t="shared" si="10"/>
        <v>#REF!</v>
      </c>
      <c r="G78" s="76" t="e">
        <f t="shared" ref="G78:G130" si="11">ROUND(512.79/E78,2)</f>
        <v>#DIV/0!</v>
      </c>
      <c r="H78" s="67"/>
    </row>
    <row r="79" spans="1:8" s="13" customFormat="1" ht="8.1" customHeight="1">
      <c r="A79" s="90">
        <v>50</v>
      </c>
      <c r="B79" s="92" t="s">
        <v>736</v>
      </c>
      <c r="C79" s="20" t="s">
        <v>59</v>
      </c>
      <c r="D79" s="69">
        <f>4038.8+4464</f>
        <v>8502.7999999999993</v>
      </c>
      <c r="E79" s="71">
        <f>61+112</f>
        <v>173</v>
      </c>
      <c r="F79" s="73">
        <f t="shared" si="10"/>
        <v>12.29</v>
      </c>
      <c r="G79" s="76">
        <f>ROUND((441.63+451.2)/E79,2)</f>
        <v>5.16</v>
      </c>
      <c r="H79" s="67">
        <f>ROUND((1009.71+1116)/E79,2)</f>
        <v>12.29</v>
      </c>
    </row>
    <row r="80" spans="1:8" s="13" customFormat="1" ht="8.1" customHeight="1">
      <c r="A80" s="91"/>
      <c r="B80" s="93"/>
      <c r="C80" s="23" t="s">
        <v>60</v>
      </c>
      <c r="D80" s="70" t="e">
        <f>#REF!+#REF!</f>
        <v>#REF!</v>
      </c>
      <c r="E80" s="72"/>
      <c r="F80" s="74" t="e">
        <f t="shared" si="10"/>
        <v>#REF!</v>
      </c>
      <c r="G80" s="76" t="e">
        <f t="shared" si="11"/>
        <v>#DIV/0!</v>
      </c>
      <c r="H80" s="67"/>
    </row>
    <row r="81" spans="1:8" s="13" customFormat="1" ht="15.95" customHeight="1">
      <c r="A81" s="39">
        <v>51</v>
      </c>
      <c r="B81" s="31" t="s">
        <v>61</v>
      </c>
      <c r="C81" s="23" t="s">
        <v>60</v>
      </c>
      <c r="D81" s="17">
        <v>4464</v>
      </c>
      <c r="E81" s="28">
        <v>135</v>
      </c>
      <c r="F81" s="18">
        <f t="shared" si="10"/>
        <v>8.27</v>
      </c>
      <c r="G81" s="26">
        <f>ROUND(451.2/E81,2)</f>
        <v>3.34</v>
      </c>
      <c r="H81" s="13">
        <f>ROUND(1116/E81,2)</f>
        <v>8.27</v>
      </c>
    </row>
    <row r="82" spans="1:8" s="13" customFormat="1" ht="15.95" customHeight="1">
      <c r="A82" s="27">
        <v>52</v>
      </c>
      <c r="B82" s="31" t="s">
        <v>62</v>
      </c>
      <c r="C82" s="16" t="s">
        <v>18</v>
      </c>
      <c r="D82" s="17">
        <v>2702.6</v>
      </c>
      <c r="E82" s="28">
        <v>12</v>
      </c>
      <c r="F82" s="18">
        <f t="shared" si="10"/>
        <v>56.3</v>
      </c>
      <c r="G82" s="26">
        <f>ROUND(441.63/E82,2)</f>
        <v>36.799999999999997</v>
      </c>
      <c r="H82" s="13">
        <f>ROUND(675.66/E82,2)</f>
        <v>56.31</v>
      </c>
    </row>
    <row r="83" spans="1:8" s="13" customFormat="1" ht="15.95" customHeight="1">
      <c r="A83" s="27">
        <v>53</v>
      </c>
      <c r="B83" s="31" t="s">
        <v>63</v>
      </c>
      <c r="C83" s="38" t="s">
        <v>20</v>
      </c>
      <c r="D83" s="17">
        <v>2702.6</v>
      </c>
      <c r="E83" s="28">
        <v>24</v>
      </c>
      <c r="F83" s="18">
        <f t="shared" si="10"/>
        <v>28.15</v>
      </c>
      <c r="G83" s="26">
        <f>ROUND(441.63/E83,2)</f>
        <v>18.399999999999999</v>
      </c>
      <c r="H83" s="13">
        <f>ROUND(675.66/E83,2)</f>
        <v>28.15</v>
      </c>
    </row>
    <row r="84" spans="1:8" s="13" customFormat="1" ht="15.95" customHeight="1">
      <c r="A84" s="27">
        <v>54</v>
      </c>
      <c r="B84" s="31" t="s">
        <v>64</v>
      </c>
      <c r="C84" s="16" t="s">
        <v>49</v>
      </c>
      <c r="D84" s="17">
        <v>3590</v>
      </c>
      <c r="E84" s="28">
        <v>58</v>
      </c>
      <c r="F84" s="18">
        <f t="shared" si="10"/>
        <v>15.47</v>
      </c>
      <c r="G84" s="26">
        <f>ROUND(441.63/E84,2)</f>
        <v>7.61</v>
      </c>
      <c r="H84" s="13">
        <f>ROUND(897.51/E84,2)</f>
        <v>15.47</v>
      </c>
    </row>
    <row r="85" spans="1:8" s="13" customFormat="1" ht="8.1" customHeight="1">
      <c r="A85" s="90">
        <v>55</v>
      </c>
      <c r="B85" s="92" t="s">
        <v>737</v>
      </c>
      <c r="C85" s="20" t="s">
        <v>59</v>
      </c>
      <c r="D85" s="69">
        <f>4038.8+3590</f>
        <v>7628.8</v>
      </c>
      <c r="E85" s="71">
        <f>105+55</f>
        <v>160</v>
      </c>
      <c r="F85" s="73">
        <f t="shared" si="10"/>
        <v>11.92</v>
      </c>
      <c r="G85" s="76">
        <f>ROUND(441.63*2/E85,2)</f>
        <v>5.52</v>
      </c>
      <c r="H85" s="67">
        <f>ROUND((1009.71+897.51)/E85,2)</f>
        <v>11.92</v>
      </c>
    </row>
    <row r="86" spans="1:8" s="13" customFormat="1" ht="8.1" customHeight="1">
      <c r="A86" s="91"/>
      <c r="B86" s="93"/>
      <c r="C86" s="23" t="s">
        <v>24</v>
      </c>
      <c r="D86" s="70" t="e">
        <f>#REF!+#REF!</f>
        <v>#REF!</v>
      </c>
      <c r="E86" s="72"/>
      <c r="F86" s="74" t="e">
        <f t="shared" si="10"/>
        <v>#REF!</v>
      </c>
      <c r="G86" s="76" t="e">
        <f t="shared" si="11"/>
        <v>#DIV/0!</v>
      </c>
      <c r="H86" s="67"/>
    </row>
    <row r="87" spans="1:8" s="13" customFormat="1" ht="15.95" customHeight="1">
      <c r="A87" s="27">
        <v>56</v>
      </c>
      <c r="B87" s="31" t="s">
        <v>65</v>
      </c>
      <c r="C87" s="16" t="s">
        <v>16</v>
      </c>
      <c r="D87" s="17">
        <v>4038.8</v>
      </c>
      <c r="E87" s="28">
        <v>90</v>
      </c>
      <c r="F87" s="18">
        <f t="shared" si="10"/>
        <v>11.22</v>
      </c>
      <c r="G87" s="26">
        <f t="shared" ref="G87:G91" si="12">ROUND(441.63/E87,2)</f>
        <v>4.91</v>
      </c>
      <c r="H87" s="13">
        <f>ROUND(1009.71/E87,2)</f>
        <v>11.22</v>
      </c>
    </row>
    <row r="88" spans="1:8" s="13" customFormat="1" ht="15.95" customHeight="1">
      <c r="A88" s="27">
        <v>57</v>
      </c>
      <c r="B88" s="31" t="s">
        <v>66</v>
      </c>
      <c r="C88" s="16" t="s">
        <v>16</v>
      </c>
      <c r="D88" s="17">
        <v>4038.8</v>
      </c>
      <c r="E88" s="28">
        <v>30</v>
      </c>
      <c r="F88" s="18">
        <f t="shared" si="10"/>
        <v>33.659999999999997</v>
      </c>
      <c r="G88" s="26">
        <f t="shared" si="12"/>
        <v>14.72</v>
      </c>
      <c r="H88" s="13">
        <f t="shared" si="5"/>
        <v>33.659999999999997</v>
      </c>
    </row>
    <row r="89" spans="1:8" s="13" customFormat="1" ht="15.95" customHeight="1">
      <c r="A89" s="27">
        <v>58</v>
      </c>
      <c r="B89" s="31" t="s">
        <v>67</v>
      </c>
      <c r="C89" s="16" t="s">
        <v>14</v>
      </c>
      <c r="D89" s="17">
        <v>4038.8</v>
      </c>
      <c r="E89" s="28">
        <v>28</v>
      </c>
      <c r="F89" s="18">
        <f t="shared" si="10"/>
        <v>36.06</v>
      </c>
      <c r="G89" s="26">
        <f>ROUND(441.63/E89,2)</f>
        <v>15.77</v>
      </c>
      <c r="H89" s="13">
        <f t="shared" si="5"/>
        <v>36.06</v>
      </c>
    </row>
    <row r="90" spans="1:8" s="13" customFormat="1" ht="15.95" customHeight="1">
      <c r="A90" s="27">
        <v>59</v>
      </c>
      <c r="B90" s="31" t="s">
        <v>68</v>
      </c>
      <c r="C90" s="16" t="s">
        <v>16</v>
      </c>
      <c r="D90" s="17">
        <v>4038.8</v>
      </c>
      <c r="E90" s="28">
        <v>79</v>
      </c>
      <c r="F90" s="18">
        <f t="shared" si="10"/>
        <v>12.78</v>
      </c>
      <c r="G90" s="26">
        <f t="shared" si="12"/>
        <v>5.59</v>
      </c>
      <c r="H90" s="13">
        <f t="shared" si="5"/>
        <v>12.78</v>
      </c>
    </row>
    <row r="91" spans="1:8" s="13" customFormat="1" ht="15.95" customHeight="1">
      <c r="A91" s="27">
        <v>60</v>
      </c>
      <c r="B91" s="31" t="s">
        <v>69</v>
      </c>
      <c r="C91" s="16" t="s">
        <v>16</v>
      </c>
      <c r="D91" s="17">
        <v>4038.8</v>
      </c>
      <c r="E91" s="28">
        <v>78</v>
      </c>
      <c r="F91" s="18">
        <f t="shared" si="10"/>
        <v>12.94</v>
      </c>
      <c r="G91" s="26">
        <f t="shared" si="12"/>
        <v>5.66</v>
      </c>
      <c r="H91" s="13">
        <f t="shared" si="5"/>
        <v>12.95</v>
      </c>
    </row>
    <row r="92" spans="1:8" s="13" customFormat="1" ht="15.95" customHeight="1">
      <c r="A92" s="27">
        <v>61</v>
      </c>
      <c r="B92" s="31" t="s">
        <v>70</v>
      </c>
      <c r="C92" s="20" t="s">
        <v>24</v>
      </c>
      <c r="D92" s="17">
        <v>3590</v>
      </c>
      <c r="E92" s="28">
        <v>30</v>
      </c>
      <c r="F92" s="18">
        <f t="shared" si="10"/>
        <v>29.92</v>
      </c>
      <c r="G92" s="26">
        <f t="shared" ref="G92:G94" si="13">ROUND(441.63/E92,2)</f>
        <v>14.72</v>
      </c>
      <c r="H92" s="13">
        <f>ROUND(897.51/E92,2)</f>
        <v>29.92</v>
      </c>
    </row>
    <row r="93" spans="1:8" s="13" customFormat="1" ht="15.95" customHeight="1">
      <c r="A93" s="27">
        <v>62</v>
      </c>
      <c r="B93" s="31" t="s">
        <v>71</v>
      </c>
      <c r="C93" s="20" t="s">
        <v>24</v>
      </c>
      <c r="D93" s="17">
        <v>3590</v>
      </c>
      <c r="E93" s="28">
        <v>40</v>
      </c>
      <c r="F93" s="18">
        <f t="shared" si="10"/>
        <v>22.44</v>
      </c>
      <c r="G93" s="26">
        <f t="shared" si="13"/>
        <v>11.04</v>
      </c>
      <c r="H93" s="13">
        <f t="shared" ref="H93:H94" si="14">ROUND(897.51/E93,2)</f>
        <v>22.44</v>
      </c>
    </row>
    <row r="94" spans="1:8" s="13" customFormat="1" ht="15.95" customHeight="1">
      <c r="A94" s="27">
        <v>63</v>
      </c>
      <c r="B94" s="31" t="s">
        <v>72</v>
      </c>
      <c r="C94" s="16" t="s">
        <v>49</v>
      </c>
      <c r="D94" s="17">
        <v>3590</v>
      </c>
      <c r="E94" s="28">
        <v>38</v>
      </c>
      <c r="F94" s="18">
        <f t="shared" si="10"/>
        <v>23.62</v>
      </c>
      <c r="G94" s="26">
        <f t="shared" si="13"/>
        <v>11.62</v>
      </c>
      <c r="H94" s="13">
        <f t="shared" si="14"/>
        <v>23.62</v>
      </c>
    </row>
    <row r="95" spans="1:8" s="13" customFormat="1" ht="15.95" customHeight="1">
      <c r="A95" s="27">
        <v>64</v>
      </c>
      <c r="B95" s="31" t="s">
        <v>73</v>
      </c>
      <c r="C95" s="20" t="s">
        <v>18</v>
      </c>
      <c r="D95" s="17">
        <v>2702.6</v>
      </c>
      <c r="E95" s="28">
        <v>12</v>
      </c>
      <c r="F95" s="18">
        <f t="shared" si="10"/>
        <v>56.3</v>
      </c>
      <c r="G95" s="26">
        <f t="shared" ref="G95:G98" si="15">ROUND(441.63/E95,2)</f>
        <v>36.799999999999997</v>
      </c>
      <c r="H95" s="13">
        <f>ROUND(675.66/E95,2)</f>
        <v>56.31</v>
      </c>
    </row>
    <row r="96" spans="1:8" s="13" customFormat="1" ht="15.95" customHeight="1">
      <c r="A96" s="27">
        <v>65</v>
      </c>
      <c r="B96" s="31" t="s">
        <v>74</v>
      </c>
      <c r="C96" s="16" t="s">
        <v>14</v>
      </c>
      <c r="D96" s="17">
        <v>4038.8</v>
      </c>
      <c r="E96" s="28">
        <v>38</v>
      </c>
      <c r="F96" s="18">
        <f t="shared" si="10"/>
        <v>26.57</v>
      </c>
      <c r="G96" s="26">
        <f t="shared" si="15"/>
        <v>11.62</v>
      </c>
      <c r="H96" s="13">
        <f t="shared" si="5"/>
        <v>26.57</v>
      </c>
    </row>
    <row r="97" spans="1:8" s="13" customFormat="1" ht="15.95" customHeight="1">
      <c r="A97" s="27">
        <v>66</v>
      </c>
      <c r="B97" s="31" t="s">
        <v>802</v>
      </c>
      <c r="C97" s="16" t="s">
        <v>16</v>
      </c>
      <c r="D97" s="17">
        <v>4038.8</v>
      </c>
      <c r="E97" s="28">
        <v>52</v>
      </c>
      <c r="F97" s="18">
        <f t="shared" si="10"/>
        <v>19.420000000000002</v>
      </c>
      <c r="G97" s="26">
        <f t="shared" si="15"/>
        <v>8.49</v>
      </c>
      <c r="H97" s="13">
        <f t="shared" si="5"/>
        <v>19.420000000000002</v>
      </c>
    </row>
    <row r="98" spans="1:8" s="13" customFormat="1" ht="15.95" customHeight="1">
      <c r="A98" s="27">
        <v>67</v>
      </c>
      <c r="B98" s="31" t="s">
        <v>75</v>
      </c>
      <c r="C98" s="16" t="s">
        <v>49</v>
      </c>
      <c r="D98" s="17">
        <v>3590</v>
      </c>
      <c r="E98" s="28">
        <v>44</v>
      </c>
      <c r="F98" s="18">
        <f t="shared" si="10"/>
        <v>20.399999999999999</v>
      </c>
      <c r="G98" s="26">
        <f t="shared" si="15"/>
        <v>10.039999999999999</v>
      </c>
      <c r="H98" s="13">
        <f>ROUND(897.51/E98,2)</f>
        <v>20.399999999999999</v>
      </c>
    </row>
    <row r="99" spans="1:8" s="13" customFormat="1" ht="15.95" customHeight="1">
      <c r="A99" s="27">
        <v>68</v>
      </c>
      <c r="B99" s="31" t="s">
        <v>76</v>
      </c>
      <c r="C99" s="20" t="s">
        <v>24</v>
      </c>
      <c r="D99" s="17">
        <v>3590</v>
      </c>
      <c r="E99" s="28">
        <v>38</v>
      </c>
      <c r="F99" s="18">
        <f t="shared" si="10"/>
        <v>23.62</v>
      </c>
      <c r="G99" s="26">
        <f>ROUND(441.63/E99,2)</f>
        <v>11.62</v>
      </c>
      <c r="H99" s="13">
        <f t="shared" ref="H99:H100" si="16">ROUND(897.51/E99,2)</f>
        <v>23.62</v>
      </c>
    </row>
    <row r="100" spans="1:8" s="13" customFormat="1" ht="15.95" customHeight="1">
      <c r="A100" s="27">
        <v>69</v>
      </c>
      <c r="B100" s="31" t="s">
        <v>77</v>
      </c>
      <c r="C100" s="16" t="s">
        <v>49</v>
      </c>
      <c r="D100" s="17">
        <v>3590</v>
      </c>
      <c r="E100" s="28">
        <v>45</v>
      </c>
      <c r="F100" s="18">
        <f t="shared" si="10"/>
        <v>19.940000000000001</v>
      </c>
      <c r="G100" s="26">
        <f t="shared" ref="G100" si="17">ROUND(441.63/E100,2)</f>
        <v>9.81</v>
      </c>
      <c r="H100" s="13">
        <f t="shared" si="16"/>
        <v>19.940000000000001</v>
      </c>
    </row>
    <row r="101" spans="1:8" s="13" customFormat="1" ht="3.95" customHeight="1">
      <c r="A101" s="90">
        <v>70</v>
      </c>
      <c r="B101" s="92" t="s">
        <v>738</v>
      </c>
      <c r="C101" s="20" t="s">
        <v>24</v>
      </c>
      <c r="D101" s="69">
        <f>3590*3+4464</f>
        <v>15234</v>
      </c>
      <c r="E101" s="78">
        <f>36+36+34</f>
        <v>106</v>
      </c>
      <c r="F101" s="73">
        <f t="shared" si="10"/>
        <v>35.93</v>
      </c>
      <c r="G101" s="76">
        <f>ROUND((441.63*2+451.2+469.47)/E101,2)</f>
        <v>17.02</v>
      </c>
      <c r="H101" s="67">
        <f>ROUND((897.51*3+1116)/E101,2)</f>
        <v>35.93</v>
      </c>
    </row>
    <row r="102" spans="1:8" s="13" customFormat="1" ht="3.95" customHeight="1">
      <c r="A102" s="94"/>
      <c r="B102" s="98"/>
      <c r="C102" s="40" t="s">
        <v>78</v>
      </c>
      <c r="D102" s="77" t="e">
        <f>#REF!+#REF!</f>
        <v>#REF!</v>
      </c>
      <c r="E102" s="79"/>
      <c r="F102" s="81" t="e">
        <f t="shared" si="10"/>
        <v>#REF!</v>
      </c>
      <c r="G102" s="76" t="e">
        <f t="shared" si="11"/>
        <v>#DIV/0!</v>
      </c>
      <c r="H102" s="67"/>
    </row>
    <row r="103" spans="1:8" s="13" customFormat="1" ht="3.95" customHeight="1">
      <c r="A103" s="94"/>
      <c r="B103" s="98"/>
      <c r="C103" s="22" t="s">
        <v>24</v>
      </c>
      <c r="D103" s="77" t="e">
        <f>#REF!+#REF!</f>
        <v>#REF!</v>
      </c>
      <c r="E103" s="79"/>
      <c r="F103" s="81" t="e">
        <f t="shared" si="10"/>
        <v>#REF!</v>
      </c>
      <c r="G103" s="76" t="e">
        <f t="shared" si="11"/>
        <v>#DIV/0!</v>
      </c>
      <c r="H103" s="67"/>
    </row>
    <row r="104" spans="1:8" s="13" customFormat="1" ht="3.95" customHeight="1">
      <c r="A104" s="91"/>
      <c r="B104" s="93"/>
      <c r="C104" s="22" t="s">
        <v>60</v>
      </c>
      <c r="D104" s="70" t="e">
        <f>#REF!+#REF!</f>
        <v>#REF!</v>
      </c>
      <c r="E104" s="80"/>
      <c r="F104" s="74" t="e">
        <f t="shared" si="10"/>
        <v>#REF!</v>
      </c>
      <c r="G104" s="76" t="e">
        <f t="shared" si="11"/>
        <v>#DIV/0!</v>
      </c>
      <c r="H104" s="67"/>
    </row>
    <row r="105" spans="1:8" s="13" customFormat="1" ht="15.95" customHeight="1">
      <c r="A105" s="27">
        <v>71</v>
      </c>
      <c r="B105" s="31" t="s">
        <v>79</v>
      </c>
      <c r="C105" s="20" t="s">
        <v>24</v>
      </c>
      <c r="D105" s="17">
        <v>3590</v>
      </c>
      <c r="E105" s="28">
        <v>40</v>
      </c>
      <c r="F105" s="18">
        <f t="shared" si="10"/>
        <v>22.44</v>
      </c>
      <c r="G105" s="26">
        <f>ROUND(441.63/E105,2)</f>
        <v>11.04</v>
      </c>
      <c r="H105" s="13">
        <f>ROUND(897.51/E105,2)</f>
        <v>22.44</v>
      </c>
    </row>
    <row r="106" spans="1:8" s="13" customFormat="1" ht="5.45" customHeight="1">
      <c r="A106" s="90">
        <v>72</v>
      </c>
      <c r="B106" s="92" t="s">
        <v>740</v>
      </c>
      <c r="C106" s="20" t="s">
        <v>15</v>
      </c>
      <c r="D106" s="69">
        <f>3590*2+4038.8</f>
        <v>11218.8</v>
      </c>
      <c r="E106" s="71">
        <f>107+54+72</f>
        <v>233</v>
      </c>
      <c r="F106" s="73">
        <f t="shared" si="10"/>
        <v>12.04</v>
      </c>
      <c r="G106" s="76">
        <f>ROUND(441.63*3/E106,2)</f>
        <v>5.69</v>
      </c>
      <c r="H106" s="67">
        <f>ROUND((897.51*2+1009.71)/E106,2)</f>
        <v>12.04</v>
      </c>
    </row>
    <row r="107" spans="1:8" s="13" customFormat="1" ht="5.45" customHeight="1">
      <c r="A107" s="94"/>
      <c r="B107" s="98"/>
      <c r="C107" s="22" t="s">
        <v>16</v>
      </c>
      <c r="D107" s="77" t="e">
        <f>#REF!+#REF!</f>
        <v>#REF!</v>
      </c>
      <c r="E107" s="85"/>
      <c r="F107" s="81" t="e">
        <f t="shared" si="10"/>
        <v>#REF!</v>
      </c>
      <c r="G107" s="76" t="e">
        <f t="shared" si="11"/>
        <v>#DIV/0!</v>
      </c>
      <c r="H107" s="67"/>
    </row>
    <row r="108" spans="1:8" s="13" customFormat="1" ht="5.45" customHeight="1">
      <c r="A108" s="91"/>
      <c r="B108" s="93"/>
      <c r="C108" s="23" t="s">
        <v>49</v>
      </c>
      <c r="D108" s="70" t="e">
        <f>#REF!+#REF!</f>
        <v>#REF!</v>
      </c>
      <c r="E108" s="72"/>
      <c r="F108" s="74" t="e">
        <f t="shared" si="10"/>
        <v>#REF!</v>
      </c>
      <c r="G108" s="76" t="e">
        <f t="shared" si="11"/>
        <v>#DIV/0!</v>
      </c>
      <c r="H108" s="67"/>
    </row>
    <row r="109" spans="1:8" s="13" customFormat="1" ht="15.95" customHeight="1">
      <c r="A109" s="27">
        <v>73</v>
      </c>
      <c r="B109" s="31" t="s">
        <v>80</v>
      </c>
      <c r="C109" s="16" t="s">
        <v>49</v>
      </c>
      <c r="D109" s="17">
        <v>3590</v>
      </c>
      <c r="E109" s="28">
        <v>71</v>
      </c>
      <c r="F109" s="18">
        <f t="shared" si="10"/>
        <v>12.64</v>
      </c>
      <c r="G109" s="26">
        <f>ROUND(441.63/E109,2)</f>
        <v>6.22</v>
      </c>
      <c r="H109" s="13">
        <f>ROUND(897.51/E109,2)</f>
        <v>12.64</v>
      </c>
    </row>
    <row r="110" spans="1:8" s="13" customFormat="1" ht="15.95" customHeight="1">
      <c r="A110" s="27">
        <v>74</v>
      </c>
      <c r="B110" s="31" t="s">
        <v>81</v>
      </c>
      <c r="C110" s="16" t="s">
        <v>12</v>
      </c>
      <c r="D110" s="17">
        <v>4464</v>
      </c>
      <c r="E110" s="28">
        <v>108</v>
      </c>
      <c r="F110" s="18">
        <f t="shared" si="10"/>
        <v>10.33</v>
      </c>
      <c r="G110" s="26">
        <f>ROUND(451.2/E110,2)</f>
        <v>4.18</v>
      </c>
      <c r="H110" s="13">
        <f>ROUND(1116/E110,2)</f>
        <v>10.33</v>
      </c>
    </row>
    <row r="111" spans="1:8" s="13" customFormat="1" ht="15.95" customHeight="1">
      <c r="A111" s="27">
        <v>75</v>
      </c>
      <c r="B111" s="31" t="s">
        <v>82</v>
      </c>
      <c r="C111" s="16" t="s">
        <v>12</v>
      </c>
      <c r="D111" s="17">
        <v>4464</v>
      </c>
      <c r="E111" s="28">
        <v>100</v>
      </c>
      <c r="F111" s="18">
        <f t="shared" si="10"/>
        <v>11.16</v>
      </c>
      <c r="G111" s="26">
        <f>ROUND(451.2/E111,2)</f>
        <v>4.51</v>
      </c>
      <c r="H111" s="13">
        <f>ROUND(1116/E111,2)</f>
        <v>11.16</v>
      </c>
    </row>
    <row r="112" spans="1:8" s="13" customFormat="1" ht="15.95" customHeight="1">
      <c r="A112" s="27">
        <v>76</v>
      </c>
      <c r="B112" s="31" t="s">
        <v>83</v>
      </c>
      <c r="C112" s="30" t="s">
        <v>84</v>
      </c>
      <c r="D112" s="17">
        <v>4038.8</v>
      </c>
      <c r="E112" s="28">
        <v>80</v>
      </c>
      <c r="F112" s="18">
        <f t="shared" si="10"/>
        <v>12.62</v>
      </c>
      <c r="G112" s="26">
        <f>ROUND(469.47/E112,2)</f>
        <v>5.87</v>
      </c>
      <c r="H112" s="13">
        <f>ROUND(1009.71/E112,2)</f>
        <v>12.62</v>
      </c>
    </row>
    <row r="113" spans="1:8" s="13" customFormat="1" ht="15.95" customHeight="1">
      <c r="A113" s="27">
        <v>77</v>
      </c>
      <c r="B113" s="31" t="s">
        <v>85</v>
      </c>
      <c r="C113" s="30" t="s">
        <v>86</v>
      </c>
      <c r="D113" s="17">
        <v>3590</v>
      </c>
      <c r="E113" s="28">
        <v>28</v>
      </c>
      <c r="F113" s="18">
        <f t="shared" si="10"/>
        <v>32.049999999999997</v>
      </c>
      <c r="G113" s="26">
        <f>ROUND(469.47/E113,2)</f>
        <v>16.77</v>
      </c>
      <c r="H113" s="13">
        <f>ROUND(897.51/E113,2)</f>
        <v>32.049999999999997</v>
      </c>
    </row>
    <row r="114" spans="1:8" s="13" customFormat="1" ht="15.95" customHeight="1">
      <c r="A114" s="27">
        <v>78</v>
      </c>
      <c r="B114" s="31" t="s">
        <v>87</v>
      </c>
      <c r="C114" s="16" t="s">
        <v>16</v>
      </c>
      <c r="D114" s="17">
        <v>4038.8</v>
      </c>
      <c r="E114" s="28">
        <v>43</v>
      </c>
      <c r="F114" s="18">
        <f t="shared" si="10"/>
        <v>23.48</v>
      </c>
      <c r="G114" s="26">
        <f>ROUND(441.63/E114,2)</f>
        <v>10.27</v>
      </c>
      <c r="H114" s="13">
        <f t="shared" ref="H114:H125" si="18">ROUND(1009.71/E114,2)</f>
        <v>23.48</v>
      </c>
    </row>
    <row r="115" spans="1:8" s="13" customFormat="1" ht="15.95" customHeight="1">
      <c r="A115" s="27">
        <v>79</v>
      </c>
      <c r="B115" s="31" t="s">
        <v>88</v>
      </c>
      <c r="C115" s="20" t="s">
        <v>18</v>
      </c>
      <c r="D115" s="17">
        <v>2702.6</v>
      </c>
      <c r="E115" s="28">
        <v>10</v>
      </c>
      <c r="F115" s="18">
        <f t="shared" si="10"/>
        <v>67.569999999999993</v>
      </c>
      <c r="G115" s="26">
        <f>ROUND(441.63/E115,2)</f>
        <v>44.16</v>
      </c>
      <c r="H115" s="13">
        <f>ROUND(675.66/E115,2)</f>
        <v>67.569999999999993</v>
      </c>
    </row>
    <row r="116" spans="1:8" s="13" customFormat="1" ht="15.95" customHeight="1">
      <c r="A116" s="27">
        <v>80</v>
      </c>
      <c r="B116" s="31" t="s">
        <v>89</v>
      </c>
      <c r="C116" s="16" t="s">
        <v>20</v>
      </c>
      <c r="D116" s="17">
        <v>2702.6</v>
      </c>
      <c r="E116" s="28">
        <v>16</v>
      </c>
      <c r="F116" s="18">
        <f t="shared" si="10"/>
        <v>42.23</v>
      </c>
      <c r="G116" s="26">
        <f>ROUND(441.63/E116,2)</f>
        <v>27.6</v>
      </c>
      <c r="H116" s="13">
        <f>ROUND(675.66/E116,2)</f>
        <v>42.23</v>
      </c>
    </row>
    <row r="117" spans="1:8" s="13" customFormat="1" ht="15.95" customHeight="1">
      <c r="A117" s="27">
        <v>81</v>
      </c>
      <c r="B117" s="31" t="s">
        <v>90</v>
      </c>
      <c r="C117" s="30" t="s">
        <v>91</v>
      </c>
      <c r="D117" s="17">
        <v>4038.8</v>
      </c>
      <c r="E117" s="28">
        <v>44</v>
      </c>
      <c r="F117" s="18">
        <f t="shared" si="10"/>
        <v>22.95</v>
      </c>
      <c r="G117" s="26">
        <f>ROUND(469.47/E117,2)</f>
        <v>10.67</v>
      </c>
      <c r="H117" s="13">
        <f t="shared" si="18"/>
        <v>22.95</v>
      </c>
    </row>
    <row r="118" spans="1:8" s="13" customFormat="1" ht="15.95" customHeight="1">
      <c r="A118" s="27">
        <v>82</v>
      </c>
      <c r="B118" s="31" t="s">
        <v>92</v>
      </c>
      <c r="C118" s="16" t="s">
        <v>14</v>
      </c>
      <c r="D118" s="17">
        <v>4038.8</v>
      </c>
      <c r="E118" s="28">
        <v>78</v>
      </c>
      <c r="F118" s="18">
        <f t="shared" si="10"/>
        <v>12.94</v>
      </c>
      <c r="G118" s="26">
        <f t="shared" ref="G118:G119" si="19">ROUND(441.63/E118,2)</f>
        <v>5.66</v>
      </c>
      <c r="H118" s="13">
        <f t="shared" si="18"/>
        <v>12.95</v>
      </c>
    </row>
    <row r="119" spans="1:8" s="13" customFormat="1" ht="15.95" customHeight="1">
      <c r="A119" s="27">
        <v>83</v>
      </c>
      <c r="B119" s="31" t="s">
        <v>93</v>
      </c>
      <c r="C119" s="16" t="s">
        <v>14</v>
      </c>
      <c r="D119" s="17">
        <v>4038.8</v>
      </c>
      <c r="E119" s="28">
        <v>80</v>
      </c>
      <c r="F119" s="18">
        <f t="shared" si="10"/>
        <v>12.62</v>
      </c>
      <c r="G119" s="26">
        <f t="shared" si="19"/>
        <v>5.52</v>
      </c>
      <c r="H119" s="13">
        <f t="shared" si="18"/>
        <v>12.62</v>
      </c>
    </row>
    <row r="120" spans="1:8" s="13" customFormat="1" ht="15.95" customHeight="1">
      <c r="A120" s="27">
        <v>84</v>
      </c>
      <c r="B120" s="31" t="s">
        <v>94</v>
      </c>
      <c r="C120" s="16" t="s">
        <v>12</v>
      </c>
      <c r="D120" s="17">
        <v>4464</v>
      </c>
      <c r="E120" s="28">
        <v>120</v>
      </c>
      <c r="F120" s="18">
        <f t="shared" si="10"/>
        <v>9.3000000000000007</v>
      </c>
      <c r="G120" s="26">
        <f>ROUND(451.2/E120,2)</f>
        <v>3.76</v>
      </c>
      <c r="H120" s="13">
        <f>ROUND(1116/E120,2)</f>
        <v>9.3000000000000007</v>
      </c>
    </row>
    <row r="121" spans="1:8" s="13" customFormat="1" ht="15.95" customHeight="1">
      <c r="A121" s="27">
        <v>85</v>
      </c>
      <c r="B121" s="31" t="s">
        <v>95</v>
      </c>
      <c r="C121" s="22" t="s">
        <v>16</v>
      </c>
      <c r="D121" s="17">
        <v>4038.8</v>
      </c>
      <c r="E121" s="28">
        <v>47</v>
      </c>
      <c r="F121" s="18">
        <f t="shared" si="10"/>
        <v>21.48</v>
      </c>
      <c r="G121" s="26">
        <f>ROUND(441.63/E121,2)</f>
        <v>9.4</v>
      </c>
      <c r="H121" s="13">
        <f t="shared" si="18"/>
        <v>21.48</v>
      </c>
    </row>
    <row r="122" spans="1:8" s="13" customFormat="1" ht="15.95" customHeight="1">
      <c r="A122" s="27">
        <v>86</v>
      </c>
      <c r="B122" s="31" t="s">
        <v>96</v>
      </c>
      <c r="C122" s="16" t="s">
        <v>35</v>
      </c>
      <c r="D122" s="17">
        <v>4038.8</v>
      </c>
      <c r="E122" s="28">
        <v>59</v>
      </c>
      <c r="F122" s="18">
        <f t="shared" si="10"/>
        <v>17.11</v>
      </c>
      <c r="G122" s="26">
        <f>ROUND(441.63/E122,2)</f>
        <v>7.49</v>
      </c>
      <c r="H122" s="13">
        <f t="shared" si="18"/>
        <v>17.11</v>
      </c>
    </row>
    <row r="123" spans="1:8" s="13" customFormat="1" ht="8.1" customHeight="1">
      <c r="A123" s="90">
        <v>87</v>
      </c>
      <c r="B123" s="92" t="s">
        <v>741</v>
      </c>
      <c r="C123" s="20" t="s">
        <v>59</v>
      </c>
      <c r="D123" s="82">
        <f>4038.8*2</f>
        <v>8077.6</v>
      </c>
      <c r="E123" s="71">
        <f>48+50</f>
        <v>98</v>
      </c>
      <c r="F123" s="86">
        <f t="shared" si="10"/>
        <v>20.61</v>
      </c>
      <c r="G123" s="76">
        <f>ROUND(441.63*2/E123,2)</f>
        <v>9.01</v>
      </c>
      <c r="H123" s="67">
        <f>ROUND(1009.71*2/E123,2)</f>
        <v>20.61</v>
      </c>
    </row>
    <row r="124" spans="1:8" s="13" customFormat="1" ht="8.1" customHeight="1">
      <c r="A124" s="91"/>
      <c r="B124" s="93"/>
      <c r="C124" s="23" t="s">
        <v>14</v>
      </c>
      <c r="D124" s="84" t="e">
        <f>#REF!+#REF!</f>
        <v>#REF!</v>
      </c>
      <c r="E124" s="72"/>
      <c r="F124" s="88" t="e">
        <f t="shared" si="10"/>
        <v>#REF!</v>
      </c>
      <c r="G124" s="76" t="e">
        <f t="shared" si="11"/>
        <v>#DIV/0!</v>
      </c>
      <c r="H124" s="67"/>
    </row>
    <row r="125" spans="1:8" s="13" customFormat="1" ht="15.95" customHeight="1">
      <c r="A125" s="27">
        <v>88</v>
      </c>
      <c r="B125" s="31" t="s">
        <v>97</v>
      </c>
      <c r="C125" s="16" t="s">
        <v>14</v>
      </c>
      <c r="D125" s="17">
        <v>4038.8</v>
      </c>
      <c r="E125" s="28">
        <v>35</v>
      </c>
      <c r="F125" s="18">
        <f t="shared" si="10"/>
        <v>28.85</v>
      </c>
      <c r="G125" s="26">
        <f>ROUND(441.63/E125,2)</f>
        <v>12.62</v>
      </c>
      <c r="H125" s="13">
        <f t="shared" si="18"/>
        <v>28.85</v>
      </c>
    </row>
    <row r="126" spans="1:8" s="13" customFormat="1" ht="15.95" customHeight="1">
      <c r="A126" s="27">
        <v>89</v>
      </c>
      <c r="B126" s="31" t="s">
        <v>98</v>
      </c>
      <c r="C126" s="16" t="s">
        <v>12</v>
      </c>
      <c r="D126" s="17">
        <v>4464</v>
      </c>
      <c r="E126" s="28">
        <v>132</v>
      </c>
      <c r="F126" s="18">
        <f t="shared" si="10"/>
        <v>8.4499999999999993</v>
      </c>
      <c r="G126" s="26">
        <f>ROUND(451.2/E126,2)</f>
        <v>3.42</v>
      </c>
      <c r="H126" s="13">
        <f>ROUND(1116/E126,2)</f>
        <v>8.4499999999999993</v>
      </c>
    </row>
    <row r="127" spans="1:8" s="13" customFormat="1" ht="15.95" customHeight="1">
      <c r="A127" s="27">
        <v>90</v>
      </c>
      <c r="B127" s="31" t="s">
        <v>99</v>
      </c>
      <c r="C127" s="16" t="s">
        <v>49</v>
      </c>
      <c r="D127" s="17">
        <v>3590</v>
      </c>
      <c r="E127" s="28">
        <v>72</v>
      </c>
      <c r="F127" s="18">
        <f t="shared" si="10"/>
        <v>12.47</v>
      </c>
      <c r="G127" s="26">
        <f>ROUND(441.63/E127,2)</f>
        <v>6.13</v>
      </c>
      <c r="H127" s="13">
        <f>ROUND(897.51/E127,2)</f>
        <v>12.47</v>
      </c>
    </row>
    <row r="128" spans="1:8" s="13" customFormat="1" ht="15.95" customHeight="1">
      <c r="A128" s="27">
        <v>91</v>
      </c>
      <c r="B128" s="31" t="s">
        <v>100</v>
      </c>
      <c r="C128" s="16" t="s">
        <v>12</v>
      </c>
      <c r="D128" s="17">
        <v>4464</v>
      </c>
      <c r="E128" s="28">
        <v>100</v>
      </c>
      <c r="F128" s="18">
        <f t="shared" si="10"/>
        <v>11.16</v>
      </c>
      <c r="G128" s="26">
        <f>ROUND(451.2/E128,2)</f>
        <v>4.51</v>
      </c>
      <c r="H128" s="13">
        <f>ROUND(1116/E128,2)</f>
        <v>11.16</v>
      </c>
    </row>
    <row r="129" spans="1:8" s="13" customFormat="1" ht="8.1" customHeight="1">
      <c r="A129" s="90">
        <v>92</v>
      </c>
      <c r="B129" s="92" t="s">
        <v>742</v>
      </c>
      <c r="C129" s="20" t="s">
        <v>101</v>
      </c>
      <c r="D129" s="82">
        <f>4038.8*2</f>
        <v>8077.6</v>
      </c>
      <c r="E129" s="71">
        <f>60+56</f>
        <v>116</v>
      </c>
      <c r="F129" s="86">
        <f t="shared" si="10"/>
        <v>17.41</v>
      </c>
      <c r="G129" s="76">
        <f>ROUND(441.63*2/E129,2)</f>
        <v>7.61</v>
      </c>
      <c r="H129" s="67">
        <f>ROUND(1009.71*2/E129,2)</f>
        <v>17.41</v>
      </c>
    </row>
    <row r="130" spans="1:8" s="13" customFormat="1" ht="9.75" customHeight="1">
      <c r="A130" s="91"/>
      <c r="B130" s="93"/>
      <c r="C130" s="38" t="s">
        <v>101</v>
      </c>
      <c r="D130" s="84" t="e">
        <f>#REF!+#REF!</f>
        <v>#REF!</v>
      </c>
      <c r="E130" s="72"/>
      <c r="F130" s="88" t="e">
        <f t="shared" si="10"/>
        <v>#REF!</v>
      </c>
      <c r="G130" s="76" t="e">
        <f t="shared" si="11"/>
        <v>#DIV/0!</v>
      </c>
      <c r="H130" s="67"/>
    </row>
    <row r="131" spans="1:8" s="13" customFormat="1" ht="15.95" customHeight="1">
      <c r="A131" s="27">
        <v>93</v>
      </c>
      <c r="B131" s="31" t="s">
        <v>102</v>
      </c>
      <c r="C131" s="21" t="s">
        <v>16</v>
      </c>
      <c r="D131" s="17">
        <v>4038.8</v>
      </c>
      <c r="E131" s="28">
        <v>73</v>
      </c>
      <c r="F131" s="18">
        <f t="shared" si="10"/>
        <v>13.83</v>
      </c>
      <c r="G131" s="26">
        <f t="shared" ref="G131:G137" si="20">ROUND(441.63/E131,2)</f>
        <v>6.05</v>
      </c>
      <c r="H131" s="13">
        <f t="shared" ref="H131:H159" si="21">ROUND(1009.71/E131,2)</f>
        <v>13.83</v>
      </c>
    </row>
    <row r="132" spans="1:8" s="13" customFormat="1" ht="15.95" customHeight="1">
      <c r="A132" s="27">
        <v>94</v>
      </c>
      <c r="B132" s="36" t="s">
        <v>743</v>
      </c>
      <c r="C132" s="16" t="s">
        <v>14</v>
      </c>
      <c r="D132" s="17">
        <v>4038.8</v>
      </c>
      <c r="E132" s="28">
        <v>33</v>
      </c>
      <c r="F132" s="18">
        <f t="shared" si="10"/>
        <v>30.6</v>
      </c>
      <c r="G132" s="26">
        <f t="shared" si="20"/>
        <v>13.38</v>
      </c>
      <c r="H132" s="13">
        <f t="shared" si="21"/>
        <v>30.6</v>
      </c>
    </row>
    <row r="133" spans="1:8" s="13" customFormat="1" ht="15.95" customHeight="1">
      <c r="A133" s="27">
        <v>95</v>
      </c>
      <c r="B133" s="41" t="s">
        <v>744</v>
      </c>
      <c r="C133" s="22" t="s">
        <v>16</v>
      </c>
      <c r="D133" s="17">
        <v>4038.8</v>
      </c>
      <c r="E133" s="28">
        <v>45</v>
      </c>
      <c r="F133" s="18">
        <f t="shared" si="10"/>
        <v>22.44</v>
      </c>
      <c r="G133" s="26">
        <f t="shared" si="20"/>
        <v>9.81</v>
      </c>
      <c r="H133" s="13">
        <f t="shared" si="21"/>
        <v>22.44</v>
      </c>
    </row>
    <row r="134" spans="1:8" s="13" customFormat="1" ht="15.95" customHeight="1">
      <c r="A134" s="27">
        <v>96</v>
      </c>
      <c r="B134" s="36" t="s">
        <v>745</v>
      </c>
      <c r="C134" s="16" t="s">
        <v>19</v>
      </c>
      <c r="D134" s="17">
        <v>3590</v>
      </c>
      <c r="E134" s="28">
        <v>50</v>
      </c>
      <c r="F134" s="18">
        <f t="shared" si="10"/>
        <v>17.95</v>
      </c>
      <c r="G134" s="26">
        <f t="shared" si="20"/>
        <v>8.83</v>
      </c>
      <c r="H134" s="13">
        <f>ROUND(897.51/E134,2)</f>
        <v>17.95</v>
      </c>
    </row>
    <row r="135" spans="1:8" s="13" customFormat="1" ht="15.95" customHeight="1">
      <c r="A135" s="27">
        <v>97</v>
      </c>
      <c r="B135" s="36" t="s">
        <v>746</v>
      </c>
      <c r="C135" s="22" t="s">
        <v>16</v>
      </c>
      <c r="D135" s="17">
        <v>4038.8</v>
      </c>
      <c r="E135" s="28">
        <v>50</v>
      </c>
      <c r="F135" s="18">
        <f t="shared" si="10"/>
        <v>20.190000000000001</v>
      </c>
      <c r="G135" s="26">
        <f t="shared" si="20"/>
        <v>8.83</v>
      </c>
      <c r="H135" s="13">
        <f t="shared" si="21"/>
        <v>20.190000000000001</v>
      </c>
    </row>
    <row r="136" spans="1:8" s="13" customFormat="1" ht="15.95" customHeight="1">
      <c r="A136" s="27">
        <v>98</v>
      </c>
      <c r="B136" s="36" t="s">
        <v>747</v>
      </c>
      <c r="C136" s="16" t="s">
        <v>14</v>
      </c>
      <c r="D136" s="17">
        <v>4038.8</v>
      </c>
      <c r="E136" s="28">
        <v>75</v>
      </c>
      <c r="F136" s="18">
        <f t="shared" si="10"/>
        <v>13.46</v>
      </c>
      <c r="G136" s="26">
        <f t="shared" si="20"/>
        <v>5.89</v>
      </c>
      <c r="H136" s="13">
        <f t="shared" si="21"/>
        <v>13.46</v>
      </c>
    </row>
    <row r="137" spans="1:8" s="13" customFormat="1" ht="15.95" customHeight="1">
      <c r="A137" s="27">
        <v>99</v>
      </c>
      <c r="B137" s="36" t="s">
        <v>748</v>
      </c>
      <c r="C137" s="22" t="s">
        <v>16</v>
      </c>
      <c r="D137" s="17">
        <v>4038.8</v>
      </c>
      <c r="E137" s="28">
        <v>72</v>
      </c>
      <c r="F137" s="18">
        <f t="shared" si="10"/>
        <v>14.02</v>
      </c>
      <c r="G137" s="26">
        <f t="shared" si="20"/>
        <v>6.13</v>
      </c>
      <c r="H137" s="13">
        <f t="shared" si="21"/>
        <v>14.02</v>
      </c>
    </row>
    <row r="138" spans="1:8" s="13" customFormat="1" ht="15.95" customHeight="1">
      <c r="A138" s="27">
        <v>100</v>
      </c>
      <c r="B138" s="36" t="s">
        <v>749</v>
      </c>
      <c r="C138" s="20" t="s">
        <v>59</v>
      </c>
      <c r="D138" s="17">
        <v>4038.8</v>
      </c>
      <c r="E138" s="28">
        <v>37</v>
      </c>
      <c r="F138" s="18">
        <f t="shared" si="10"/>
        <v>27.29</v>
      </c>
      <c r="G138" s="26">
        <f t="shared" ref="G138:G142" si="22">ROUND(441.63/E138,2)</f>
        <v>11.94</v>
      </c>
      <c r="H138" s="13">
        <f t="shared" si="21"/>
        <v>27.29</v>
      </c>
    </row>
    <row r="139" spans="1:8" s="13" customFormat="1" ht="15.95" customHeight="1">
      <c r="A139" s="27">
        <v>101</v>
      </c>
      <c r="B139" s="36" t="s">
        <v>750</v>
      </c>
      <c r="C139" s="16" t="s">
        <v>14</v>
      </c>
      <c r="D139" s="17">
        <v>4038.8</v>
      </c>
      <c r="E139" s="28">
        <v>73</v>
      </c>
      <c r="F139" s="18">
        <f t="shared" si="10"/>
        <v>13.83</v>
      </c>
      <c r="G139" s="26">
        <f t="shared" si="22"/>
        <v>6.05</v>
      </c>
      <c r="H139" s="13">
        <f t="shared" si="21"/>
        <v>13.83</v>
      </c>
    </row>
    <row r="140" spans="1:8" s="13" customFormat="1" ht="15.95" customHeight="1">
      <c r="A140" s="27">
        <v>102</v>
      </c>
      <c r="B140" s="36" t="s">
        <v>751</v>
      </c>
      <c r="C140" s="16" t="s">
        <v>18</v>
      </c>
      <c r="D140" s="17">
        <v>2702.6</v>
      </c>
      <c r="E140" s="28">
        <v>14</v>
      </c>
      <c r="F140" s="18">
        <f t="shared" si="10"/>
        <v>48.26</v>
      </c>
      <c r="G140" s="26">
        <f t="shared" si="22"/>
        <v>31.55</v>
      </c>
      <c r="H140" s="13">
        <f>ROUND(675.66/E140,2)</f>
        <v>48.26</v>
      </c>
    </row>
    <row r="141" spans="1:8" s="13" customFormat="1" ht="15.95" customHeight="1">
      <c r="A141" s="27">
        <v>103</v>
      </c>
      <c r="B141" s="36" t="s">
        <v>752</v>
      </c>
      <c r="C141" s="21" t="s">
        <v>16</v>
      </c>
      <c r="D141" s="17">
        <v>4038.8</v>
      </c>
      <c r="E141" s="28">
        <v>80</v>
      </c>
      <c r="F141" s="18">
        <f t="shared" ref="F141:F204" si="23">ROUND(D141/E141/4,2)</f>
        <v>12.62</v>
      </c>
      <c r="G141" s="26">
        <f t="shared" si="22"/>
        <v>5.52</v>
      </c>
      <c r="H141" s="13">
        <f t="shared" si="21"/>
        <v>12.62</v>
      </c>
    </row>
    <row r="142" spans="1:8" s="13" customFormat="1" ht="15.95" customHeight="1">
      <c r="A142" s="27">
        <v>104</v>
      </c>
      <c r="B142" s="41" t="s">
        <v>753</v>
      </c>
      <c r="C142" s="16" t="s">
        <v>49</v>
      </c>
      <c r="D142" s="17">
        <v>3590</v>
      </c>
      <c r="E142" s="28">
        <v>54</v>
      </c>
      <c r="F142" s="18">
        <f t="shared" si="23"/>
        <v>16.62</v>
      </c>
      <c r="G142" s="26">
        <f t="shared" si="22"/>
        <v>8.18</v>
      </c>
      <c r="H142" s="13">
        <f>ROUND(897.51/E142,2)</f>
        <v>16.62</v>
      </c>
    </row>
    <row r="143" spans="1:8" s="13" customFormat="1" ht="15.95" customHeight="1">
      <c r="A143" s="27">
        <v>105</v>
      </c>
      <c r="B143" s="36" t="s">
        <v>754</v>
      </c>
      <c r="C143" s="16" t="s">
        <v>60</v>
      </c>
      <c r="D143" s="17">
        <v>4464</v>
      </c>
      <c r="E143" s="28">
        <v>91</v>
      </c>
      <c r="F143" s="18">
        <f t="shared" si="23"/>
        <v>12.26</v>
      </c>
      <c r="G143" s="26">
        <f>ROUND(451.2/E143,2)</f>
        <v>4.96</v>
      </c>
      <c r="H143" s="13">
        <f>ROUND(1116/E143,2)</f>
        <v>12.26</v>
      </c>
    </row>
    <row r="144" spans="1:8" s="13" customFormat="1" ht="15.95" customHeight="1">
      <c r="A144" s="27">
        <v>106</v>
      </c>
      <c r="B144" s="36" t="s">
        <v>852</v>
      </c>
      <c r="C144" s="16" t="s">
        <v>19</v>
      </c>
      <c r="D144" s="17">
        <v>3590</v>
      </c>
      <c r="E144" s="28">
        <v>75</v>
      </c>
      <c r="F144" s="18">
        <f t="shared" si="23"/>
        <v>11.97</v>
      </c>
      <c r="G144" s="26">
        <f>ROUND(441.63/E144,2)</f>
        <v>5.89</v>
      </c>
      <c r="H144" s="13">
        <f>ROUND(897.51/E144,2)</f>
        <v>11.97</v>
      </c>
    </row>
    <row r="145" spans="1:8" s="13" customFormat="1" ht="15.95" customHeight="1">
      <c r="A145" s="27">
        <v>107</v>
      </c>
      <c r="B145" s="36" t="s">
        <v>755</v>
      </c>
      <c r="C145" s="22" t="s">
        <v>16</v>
      </c>
      <c r="D145" s="17">
        <v>4038.8</v>
      </c>
      <c r="E145" s="28">
        <v>99</v>
      </c>
      <c r="F145" s="18">
        <f t="shared" si="23"/>
        <v>10.199999999999999</v>
      </c>
      <c r="G145" s="26">
        <f t="shared" ref="G145:G146" si="24">ROUND(441.63/E145,2)</f>
        <v>4.46</v>
      </c>
      <c r="H145" s="13">
        <f t="shared" si="21"/>
        <v>10.199999999999999</v>
      </c>
    </row>
    <row r="146" spans="1:8" s="13" customFormat="1" ht="15.95" customHeight="1">
      <c r="A146" s="27">
        <v>108</v>
      </c>
      <c r="B146" s="36" t="s">
        <v>756</v>
      </c>
      <c r="C146" s="16" t="s">
        <v>49</v>
      </c>
      <c r="D146" s="17">
        <v>3590</v>
      </c>
      <c r="E146" s="28">
        <v>69</v>
      </c>
      <c r="F146" s="18">
        <f t="shared" si="23"/>
        <v>13.01</v>
      </c>
      <c r="G146" s="26">
        <f t="shared" si="24"/>
        <v>6.4</v>
      </c>
      <c r="H146" s="13">
        <f>ROUND(897.51/E146,2)</f>
        <v>13.01</v>
      </c>
    </row>
    <row r="147" spans="1:8" s="13" customFormat="1" ht="15.95" customHeight="1">
      <c r="A147" s="27">
        <v>109</v>
      </c>
      <c r="B147" s="36" t="s">
        <v>757</v>
      </c>
      <c r="C147" s="16" t="s">
        <v>19</v>
      </c>
      <c r="D147" s="17">
        <v>3590</v>
      </c>
      <c r="E147" s="28">
        <v>69</v>
      </c>
      <c r="F147" s="18">
        <f t="shared" si="23"/>
        <v>13.01</v>
      </c>
      <c r="G147" s="26">
        <f>ROUND(441.63/E147,2)</f>
        <v>6.4</v>
      </c>
      <c r="H147" s="13">
        <f>ROUND(897.51/E147,2)</f>
        <v>13.01</v>
      </c>
    </row>
    <row r="148" spans="1:8" s="13" customFormat="1" ht="15.95" customHeight="1">
      <c r="A148" s="27">
        <v>110</v>
      </c>
      <c r="B148" s="31" t="s">
        <v>103</v>
      </c>
      <c r="C148" s="20" t="s">
        <v>18</v>
      </c>
      <c r="D148" s="17">
        <v>2702.6</v>
      </c>
      <c r="E148" s="28">
        <v>15</v>
      </c>
      <c r="F148" s="18">
        <f t="shared" si="23"/>
        <v>45.04</v>
      </c>
      <c r="G148" s="26">
        <f t="shared" ref="G148:G158" si="25">ROUND(441.63/E148,2)</f>
        <v>29.44</v>
      </c>
      <c r="H148" s="13">
        <f>ROUND(675.66/E148,2)</f>
        <v>45.04</v>
      </c>
    </row>
    <row r="149" spans="1:8" s="13" customFormat="1" ht="15.95" customHeight="1">
      <c r="A149" s="27">
        <v>111</v>
      </c>
      <c r="B149" s="36" t="s">
        <v>803</v>
      </c>
      <c r="C149" s="20" t="s">
        <v>59</v>
      </c>
      <c r="D149" s="17">
        <v>4038.8</v>
      </c>
      <c r="E149" s="28">
        <v>34</v>
      </c>
      <c r="F149" s="18">
        <f t="shared" si="23"/>
        <v>29.7</v>
      </c>
      <c r="G149" s="26">
        <f t="shared" si="25"/>
        <v>12.99</v>
      </c>
      <c r="H149" s="13">
        <f t="shared" si="21"/>
        <v>29.7</v>
      </c>
    </row>
    <row r="150" spans="1:8" s="13" customFormat="1" ht="15.95" customHeight="1">
      <c r="A150" s="27">
        <v>112</v>
      </c>
      <c r="B150" s="36" t="s">
        <v>105</v>
      </c>
      <c r="C150" s="20" t="s">
        <v>18</v>
      </c>
      <c r="D150" s="17">
        <v>2702.6</v>
      </c>
      <c r="E150" s="28">
        <v>13</v>
      </c>
      <c r="F150" s="18">
        <f t="shared" si="23"/>
        <v>51.97</v>
      </c>
      <c r="G150" s="26">
        <f t="shared" si="25"/>
        <v>33.97</v>
      </c>
      <c r="H150" s="13">
        <f>ROUND(675.66/E150,2)</f>
        <v>51.97</v>
      </c>
    </row>
    <row r="151" spans="1:8" s="13" customFormat="1" ht="15.95" customHeight="1">
      <c r="A151" s="27">
        <v>113</v>
      </c>
      <c r="B151" s="31" t="s">
        <v>104</v>
      </c>
      <c r="C151" s="20" t="s">
        <v>18</v>
      </c>
      <c r="D151" s="17">
        <v>2702.6</v>
      </c>
      <c r="E151" s="28">
        <v>10</v>
      </c>
      <c r="F151" s="18">
        <f t="shared" si="23"/>
        <v>67.569999999999993</v>
      </c>
      <c r="G151" s="26">
        <f t="shared" si="25"/>
        <v>44.16</v>
      </c>
      <c r="H151" s="13">
        <f>ROUND(675.66/E151,2)</f>
        <v>67.569999999999993</v>
      </c>
    </row>
    <row r="152" spans="1:8" s="13" customFormat="1" ht="15.95" customHeight="1">
      <c r="A152" s="27">
        <v>114</v>
      </c>
      <c r="B152" s="31" t="s">
        <v>106</v>
      </c>
      <c r="C152" s="20" t="s">
        <v>18</v>
      </c>
      <c r="D152" s="17">
        <v>2702.6</v>
      </c>
      <c r="E152" s="28">
        <v>10</v>
      </c>
      <c r="F152" s="18">
        <f t="shared" si="23"/>
        <v>67.569999999999993</v>
      </c>
      <c r="G152" s="26">
        <f t="shared" si="25"/>
        <v>44.16</v>
      </c>
      <c r="H152" s="13">
        <f>ROUND(675.66/E152,2)</f>
        <v>67.569999999999993</v>
      </c>
    </row>
    <row r="153" spans="1:8" s="13" customFormat="1" ht="15.95" customHeight="1">
      <c r="A153" s="27">
        <v>115</v>
      </c>
      <c r="B153" s="31" t="s">
        <v>107</v>
      </c>
      <c r="C153" s="20" t="s">
        <v>24</v>
      </c>
      <c r="D153" s="17">
        <v>3590</v>
      </c>
      <c r="E153" s="28">
        <v>28</v>
      </c>
      <c r="F153" s="18">
        <f t="shared" si="23"/>
        <v>32.049999999999997</v>
      </c>
      <c r="G153" s="26">
        <f t="shared" si="25"/>
        <v>15.77</v>
      </c>
      <c r="H153" s="13">
        <f>ROUND(897.51/E153,2)</f>
        <v>32.049999999999997</v>
      </c>
    </row>
    <row r="154" spans="1:8" s="13" customFormat="1" ht="15.95" customHeight="1">
      <c r="A154" s="27">
        <v>116</v>
      </c>
      <c r="B154" s="31" t="s">
        <v>108</v>
      </c>
      <c r="C154" s="20" t="s">
        <v>14</v>
      </c>
      <c r="D154" s="17">
        <v>4038.8</v>
      </c>
      <c r="E154" s="28">
        <v>72</v>
      </c>
      <c r="F154" s="18">
        <f t="shared" si="23"/>
        <v>14.02</v>
      </c>
      <c r="G154" s="26">
        <f t="shared" si="25"/>
        <v>6.13</v>
      </c>
      <c r="H154" s="13">
        <f t="shared" si="21"/>
        <v>14.02</v>
      </c>
    </row>
    <row r="155" spans="1:8" s="13" customFormat="1" ht="15.95" customHeight="1">
      <c r="A155" s="27">
        <v>117</v>
      </c>
      <c r="B155" s="31" t="s">
        <v>109</v>
      </c>
      <c r="C155" s="20" t="s">
        <v>57</v>
      </c>
      <c r="D155" s="17">
        <v>2508.8000000000002</v>
      </c>
      <c r="E155" s="28">
        <v>1</v>
      </c>
      <c r="F155" s="18">
        <f t="shared" si="23"/>
        <v>627.20000000000005</v>
      </c>
      <c r="G155" s="26">
        <f t="shared" si="25"/>
        <v>441.63</v>
      </c>
      <c r="H155" s="13">
        <f>ROUND(627.21/E155,2)</f>
        <v>627.21</v>
      </c>
    </row>
    <row r="156" spans="1:8" s="13" customFormat="1" ht="15.95" customHeight="1">
      <c r="A156" s="27">
        <v>118</v>
      </c>
      <c r="B156" s="31" t="s">
        <v>110</v>
      </c>
      <c r="C156" s="20" t="s">
        <v>57</v>
      </c>
      <c r="D156" s="17">
        <v>2508.8000000000002</v>
      </c>
      <c r="E156" s="28">
        <v>3</v>
      </c>
      <c r="F156" s="18">
        <f t="shared" si="23"/>
        <v>209.07</v>
      </c>
      <c r="G156" s="26">
        <f t="shared" si="25"/>
        <v>147.21</v>
      </c>
      <c r="H156" s="13">
        <f>ROUND(627.21/E156,2)</f>
        <v>209.07</v>
      </c>
    </row>
    <row r="157" spans="1:8" s="13" customFormat="1" ht="15.95" customHeight="1">
      <c r="A157" s="27">
        <v>119</v>
      </c>
      <c r="B157" s="31" t="s">
        <v>111</v>
      </c>
      <c r="C157" s="20" t="s">
        <v>18</v>
      </c>
      <c r="D157" s="17">
        <v>2702.6</v>
      </c>
      <c r="E157" s="28">
        <v>8</v>
      </c>
      <c r="F157" s="18">
        <f t="shared" si="23"/>
        <v>84.46</v>
      </c>
      <c r="G157" s="26">
        <f t="shared" si="25"/>
        <v>55.2</v>
      </c>
      <c r="H157" s="13">
        <f>ROUND(675.66/E157,2)</f>
        <v>84.46</v>
      </c>
    </row>
    <row r="158" spans="1:8" s="13" customFormat="1" ht="15.95" customHeight="1">
      <c r="A158" s="27">
        <v>120</v>
      </c>
      <c r="B158" s="31" t="s">
        <v>112</v>
      </c>
      <c r="C158" s="20" t="s">
        <v>18</v>
      </c>
      <c r="D158" s="17">
        <v>2702.6</v>
      </c>
      <c r="E158" s="28">
        <v>19</v>
      </c>
      <c r="F158" s="18">
        <f t="shared" si="23"/>
        <v>35.56</v>
      </c>
      <c r="G158" s="26">
        <f t="shared" si="25"/>
        <v>23.24</v>
      </c>
      <c r="H158" s="13">
        <f>ROUND(675.66/E158,2)</f>
        <v>35.56</v>
      </c>
    </row>
    <row r="159" spans="1:8" s="13" customFormat="1" ht="15.95" customHeight="1">
      <c r="A159" s="27">
        <v>121</v>
      </c>
      <c r="B159" s="31" t="s">
        <v>113</v>
      </c>
      <c r="C159" s="30" t="s">
        <v>114</v>
      </c>
      <c r="D159" s="17">
        <v>4038.8</v>
      </c>
      <c r="E159" s="28">
        <v>77</v>
      </c>
      <c r="F159" s="18">
        <f t="shared" si="23"/>
        <v>13.11</v>
      </c>
      <c r="G159" s="19">
        <f>ROUND(469.47/E159,2)</f>
        <v>6.1</v>
      </c>
      <c r="H159" s="13">
        <f t="shared" si="21"/>
        <v>13.11</v>
      </c>
    </row>
    <row r="160" spans="1:8" s="13" customFormat="1" ht="15.95" customHeight="1">
      <c r="A160" s="27">
        <v>122</v>
      </c>
      <c r="B160" s="31" t="s">
        <v>115</v>
      </c>
      <c r="C160" s="20" t="s">
        <v>18</v>
      </c>
      <c r="D160" s="17">
        <v>2702.6</v>
      </c>
      <c r="E160" s="28">
        <v>28</v>
      </c>
      <c r="F160" s="18">
        <f t="shared" si="23"/>
        <v>24.13</v>
      </c>
      <c r="G160" s="26">
        <f t="shared" ref="G160:G163" si="26">ROUND(441.63/E160,2)</f>
        <v>15.77</v>
      </c>
      <c r="H160" s="13">
        <f>ROUND(675.66/E160,2)</f>
        <v>24.13</v>
      </c>
    </row>
    <row r="161" spans="1:8" s="13" customFormat="1" ht="15.95" customHeight="1">
      <c r="A161" s="27">
        <v>123</v>
      </c>
      <c r="B161" s="31" t="s">
        <v>116</v>
      </c>
      <c r="C161" s="20" t="s">
        <v>18</v>
      </c>
      <c r="D161" s="17">
        <v>2702.6</v>
      </c>
      <c r="E161" s="28">
        <v>8</v>
      </c>
      <c r="F161" s="18">
        <f t="shared" si="23"/>
        <v>84.46</v>
      </c>
      <c r="G161" s="26">
        <f t="shared" si="26"/>
        <v>55.2</v>
      </c>
      <c r="H161" s="13">
        <f>ROUND(675.66/E161,2)</f>
        <v>84.46</v>
      </c>
    </row>
    <row r="162" spans="1:8" s="13" customFormat="1" ht="15.95" customHeight="1">
      <c r="A162" s="27">
        <v>124</v>
      </c>
      <c r="B162" s="31" t="s">
        <v>117</v>
      </c>
      <c r="C162" s="20" t="s">
        <v>18</v>
      </c>
      <c r="D162" s="17">
        <v>2702.6</v>
      </c>
      <c r="E162" s="28">
        <v>8</v>
      </c>
      <c r="F162" s="18">
        <f t="shared" si="23"/>
        <v>84.46</v>
      </c>
      <c r="G162" s="26">
        <f t="shared" si="26"/>
        <v>55.2</v>
      </c>
      <c r="H162" s="13">
        <f>ROUND(675.66/E162,2)</f>
        <v>84.46</v>
      </c>
    </row>
    <row r="163" spans="1:8" s="13" customFormat="1" ht="15.95" customHeight="1">
      <c r="A163" s="27">
        <v>125</v>
      </c>
      <c r="B163" s="31" t="s">
        <v>118</v>
      </c>
      <c r="C163" s="20" t="s">
        <v>18</v>
      </c>
      <c r="D163" s="17">
        <v>2702.6</v>
      </c>
      <c r="E163" s="28">
        <v>8</v>
      </c>
      <c r="F163" s="18">
        <f t="shared" si="23"/>
        <v>84.46</v>
      </c>
      <c r="G163" s="26">
        <f t="shared" si="26"/>
        <v>55.2</v>
      </c>
      <c r="H163" s="13">
        <f>ROUND(675.66/E163,2)</f>
        <v>84.46</v>
      </c>
    </row>
    <row r="164" spans="1:8" s="13" customFormat="1" ht="15.95" customHeight="1">
      <c r="A164" s="27">
        <v>126</v>
      </c>
      <c r="B164" s="31" t="s">
        <v>119</v>
      </c>
      <c r="C164" s="20" t="s">
        <v>120</v>
      </c>
      <c r="D164" s="17">
        <v>4464</v>
      </c>
      <c r="E164" s="28">
        <v>106</v>
      </c>
      <c r="F164" s="18">
        <f t="shared" si="23"/>
        <v>10.53</v>
      </c>
      <c r="G164" s="26">
        <f>ROUND(451.2/E164,2)</f>
        <v>4.26</v>
      </c>
      <c r="H164" s="13">
        <f>ROUND(1116/E164,2)</f>
        <v>10.53</v>
      </c>
    </row>
    <row r="165" spans="1:8" s="13" customFormat="1" ht="15.95" customHeight="1">
      <c r="A165" s="27">
        <v>127</v>
      </c>
      <c r="B165" s="31" t="s">
        <v>121</v>
      </c>
      <c r="C165" s="42" t="s">
        <v>122</v>
      </c>
      <c r="D165" s="17">
        <v>4851.6000000000004</v>
      </c>
      <c r="E165" s="28">
        <v>128</v>
      </c>
      <c r="F165" s="18">
        <f t="shared" si="23"/>
        <v>9.48</v>
      </c>
      <c r="G165" s="26">
        <f>ROUND(452.88/E165,2)</f>
        <v>3.54</v>
      </c>
      <c r="H165" s="13">
        <f>ROUND(1212.9/E165,2)</f>
        <v>9.48</v>
      </c>
    </row>
    <row r="166" spans="1:8" s="13" customFormat="1" ht="3.75" customHeight="1">
      <c r="A166" s="90">
        <v>128</v>
      </c>
      <c r="B166" s="92" t="s">
        <v>123</v>
      </c>
      <c r="C166" s="20" t="s">
        <v>20</v>
      </c>
      <c r="D166" s="82">
        <f>2702.6*4</f>
        <v>10810.4</v>
      </c>
      <c r="E166" s="71">
        <f>20+20+20+15</f>
        <v>75</v>
      </c>
      <c r="F166" s="86">
        <f t="shared" si="23"/>
        <v>36.03</v>
      </c>
      <c r="G166" s="76">
        <f>ROUND(441.63*4/E166,2)</f>
        <v>23.55</v>
      </c>
      <c r="H166" s="67">
        <f>ROUND(675.66*4/E166,2)</f>
        <v>36.04</v>
      </c>
    </row>
    <row r="167" spans="1:8" s="13" customFormat="1" ht="3.75" customHeight="1">
      <c r="A167" s="94"/>
      <c r="B167" s="98"/>
      <c r="C167" s="22" t="s">
        <v>20</v>
      </c>
      <c r="D167" s="83" t="e">
        <f>#REF!+#REF!</f>
        <v>#REF!</v>
      </c>
      <c r="E167" s="85"/>
      <c r="F167" s="87" t="e">
        <f t="shared" si="23"/>
        <v>#REF!</v>
      </c>
      <c r="G167" s="76" t="e">
        <f t="shared" ref="G167:G193" si="27">ROUND(512.79/E167,2)</f>
        <v>#DIV/0!</v>
      </c>
      <c r="H167" s="67"/>
    </row>
    <row r="168" spans="1:8" s="13" customFormat="1" ht="3.75" customHeight="1">
      <c r="A168" s="94"/>
      <c r="B168" s="98"/>
      <c r="C168" s="22" t="s">
        <v>20</v>
      </c>
      <c r="D168" s="83" t="e">
        <f>#REF!+#REF!</f>
        <v>#REF!</v>
      </c>
      <c r="E168" s="85"/>
      <c r="F168" s="87" t="e">
        <f t="shared" si="23"/>
        <v>#REF!</v>
      </c>
      <c r="G168" s="76" t="e">
        <f t="shared" si="27"/>
        <v>#DIV/0!</v>
      </c>
      <c r="H168" s="67"/>
    </row>
    <row r="169" spans="1:8" s="13" customFormat="1" ht="3.75" customHeight="1">
      <c r="A169" s="91"/>
      <c r="B169" s="93"/>
      <c r="C169" s="23" t="s">
        <v>20</v>
      </c>
      <c r="D169" s="84" t="e">
        <f>#REF!+#REF!</f>
        <v>#REF!</v>
      </c>
      <c r="E169" s="72"/>
      <c r="F169" s="88" t="e">
        <f t="shared" si="23"/>
        <v>#REF!</v>
      </c>
      <c r="G169" s="76" t="e">
        <f t="shared" si="27"/>
        <v>#DIV/0!</v>
      </c>
      <c r="H169" s="67"/>
    </row>
    <row r="170" spans="1:8" s="13" customFormat="1" ht="15.95" customHeight="1">
      <c r="A170" s="27">
        <v>129</v>
      </c>
      <c r="B170" s="31" t="s">
        <v>124</v>
      </c>
      <c r="C170" s="22" t="s">
        <v>16</v>
      </c>
      <c r="D170" s="17">
        <v>4038.8</v>
      </c>
      <c r="E170" s="28">
        <v>49</v>
      </c>
      <c r="F170" s="18">
        <f t="shared" si="23"/>
        <v>20.61</v>
      </c>
      <c r="G170" s="26">
        <f>ROUND(441.63/E170,2)</f>
        <v>9.01</v>
      </c>
      <c r="H170" s="13">
        <f t="shared" ref="H170:H189" si="28">ROUND(1009.71/E170,2)</f>
        <v>20.61</v>
      </c>
    </row>
    <row r="171" spans="1:8" s="13" customFormat="1" ht="15.95" customHeight="1">
      <c r="A171" s="27">
        <v>130</v>
      </c>
      <c r="B171" s="31" t="s">
        <v>125</v>
      </c>
      <c r="C171" s="20" t="s">
        <v>14</v>
      </c>
      <c r="D171" s="17">
        <v>4038.8</v>
      </c>
      <c r="E171" s="28">
        <v>56</v>
      </c>
      <c r="F171" s="18">
        <f t="shared" si="23"/>
        <v>18.03</v>
      </c>
      <c r="G171" s="26">
        <f t="shared" ref="G171:G176" si="29">ROUND(441.63/E171,2)</f>
        <v>7.89</v>
      </c>
      <c r="H171" s="13">
        <f t="shared" si="28"/>
        <v>18.03</v>
      </c>
    </row>
    <row r="172" spans="1:8" s="13" customFormat="1" ht="15.95" customHeight="1">
      <c r="A172" s="27">
        <v>131</v>
      </c>
      <c r="B172" s="31" t="s">
        <v>126</v>
      </c>
      <c r="C172" s="16" t="s">
        <v>14</v>
      </c>
      <c r="D172" s="17">
        <v>4038.8</v>
      </c>
      <c r="E172" s="28">
        <v>64</v>
      </c>
      <c r="F172" s="18">
        <f t="shared" si="23"/>
        <v>15.78</v>
      </c>
      <c r="G172" s="26">
        <f t="shared" si="29"/>
        <v>6.9</v>
      </c>
      <c r="H172" s="13">
        <f t="shared" si="28"/>
        <v>15.78</v>
      </c>
    </row>
    <row r="173" spans="1:8" s="13" customFormat="1" ht="15.95" customHeight="1">
      <c r="A173" s="27">
        <v>132</v>
      </c>
      <c r="B173" s="31" t="s">
        <v>127</v>
      </c>
      <c r="C173" s="16" t="s">
        <v>16</v>
      </c>
      <c r="D173" s="17">
        <v>4038.8</v>
      </c>
      <c r="E173" s="28">
        <v>53</v>
      </c>
      <c r="F173" s="18">
        <f t="shared" si="23"/>
        <v>19.05</v>
      </c>
      <c r="G173" s="26">
        <f t="shared" si="29"/>
        <v>8.33</v>
      </c>
      <c r="H173" s="13">
        <f t="shared" si="28"/>
        <v>19.05</v>
      </c>
    </row>
    <row r="174" spans="1:8" s="13" customFormat="1" ht="15.95" customHeight="1">
      <c r="A174" s="27">
        <v>133</v>
      </c>
      <c r="B174" s="31" t="s">
        <v>758</v>
      </c>
      <c r="C174" s="16" t="s">
        <v>16</v>
      </c>
      <c r="D174" s="17">
        <v>4038.8</v>
      </c>
      <c r="E174" s="28">
        <v>72</v>
      </c>
      <c r="F174" s="18">
        <f t="shared" si="23"/>
        <v>14.02</v>
      </c>
      <c r="G174" s="26">
        <f t="shared" si="29"/>
        <v>6.13</v>
      </c>
      <c r="H174" s="13">
        <f t="shared" si="28"/>
        <v>14.02</v>
      </c>
    </row>
    <row r="175" spans="1:8" s="13" customFormat="1" ht="15.95" customHeight="1">
      <c r="A175" s="27">
        <v>134</v>
      </c>
      <c r="B175" s="31" t="s">
        <v>759</v>
      </c>
      <c r="C175" s="21" t="s">
        <v>16</v>
      </c>
      <c r="D175" s="17">
        <v>4038.8</v>
      </c>
      <c r="E175" s="28">
        <v>104</v>
      </c>
      <c r="F175" s="18">
        <f t="shared" si="23"/>
        <v>9.7100000000000009</v>
      </c>
      <c r="G175" s="26">
        <f t="shared" si="29"/>
        <v>4.25</v>
      </c>
      <c r="H175" s="13">
        <f t="shared" si="28"/>
        <v>9.7100000000000009</v>
      </c>
    </row>
    <row r="176" spans="1:8" s="13" customFormat="1" ht="15.95" customHeight="1">
      <c r="A176" s="27">
        <v>135</v>
      </c>
      <c r="B176" s="31" t="s">
        <v>128</v>
      </c>
      <c r="C176" s="21" t="s">
        <v>16</v>
      </c>
      <c r="D176" s="17">
        <v>4038.8</v>
      </c>
      <c r="E176" s="28">
        <v>45</v>
      </c>
      <c r="F176" s="18">
        <f t="shared" si="23"/>
        <v>22.44</v>
      </c>
      <c r="G176" s="26">
        <f t="shared" si="29"/>
        <v>9.81</v>
      </c>
      <c r="H176" s="13">
        <f t="shared" si="28"/>
        <v>22.44</v>
      </c>
    </row>
    <row r="177" spans="1:8" s="13" customFormat="1" ht="15.95" customHeight="1">
      <c r="A177" s="27">
        <v>136</v>
      </c>
      <c r="B177" s="31" t="s">
        <v>129</v>
      </c>
      <c r="C177" s="16" t="s">
        <v>19</v>
      </c>
      <c r="D177" s="17">
        <v>3590</v>
      </c>
      <c r="E177" s="28">
        <v>76</v>
      </c>
      <c r="F177" s="18">
        <f t="shared" si="23"/>
        <v>11.81</v>
      </c>
      <c r="G177" s="26">
        <f>ROUND(441.63/E177,2)</f>
        <v>5.81</v>
      </c>
      <c r="H177" s="13">
        <f>ROUND(897.51/E177,2)</f>
        <v>11.81</v>
      </c>
    </row>
    <row r="178" spans="1:8" s="13" customFormat="1" ht="8.1" customHeight="1">
      <c r="A178" s="90">
        <v>137</v>
      </c>
      <c r="B178" s="92" t="s">
        <v>764</v>
      </c>
      <c r="C178" s="20" t="s">
        <v>130</v>
      </c>
      <c r="D178" s="82">
        <v>4038.8</v>
      </c>
      <c r="E178" s="71">
        <f>45+44</f>
        <v>89</v>
      </c>
      <c r="F178" s="73">
        <f t="shared" si="23"/>
        <v>11.34</v>
      </c>
      <c r="G178" s="76">
        <f>ROUND((441.63+469.47)/E178,2)</f>
        <v>10.24</v>
      </c>
      <c r="H178" s="67">
        <f t="shared" si="28"/>
        <v>11.35</v>
      </c>
    </row>
    <row r="179" spans="1:8" s="13" customFormat="1" ht="8.1" customHeight="1">
      <c r="A179" s="91"/>
      <c r="B179" s="93"/>
      <c r="C179" s="38" t="s">
        <v>101</v>
      </c>
      <c r="D179" s="84" t="e">
        <f>#REF!+#REF!</f>
        <v>#REF!</v>
      </c>
      <c r="E179" s="72"/>
      <c r="F179" s="74" t="e">
        <f t="shared" si="23"/>
        <v>#REF!</v>
      </c>
      <c r="G179" s="76" t="e">
        <f t="shared" si="27"/>
        <v>#DIV/0!</v>
      </c>
      <c r="H179" s="67"/>
    </row>
    <row r="180" spans="1:8" s="13" customFormat="1" ht="15.95" customHeight="1">
      <c r="A180" s="27">
        <v>138</v>
      </c>
      <c r="B180" s="31" t="s">
        <v>131</v>
      </c>
      <c r="C180" s="22" t="s">
        <v>16</v>
      </c>
      <c r="D180" s="17">
        <v>4038.8</v>
      </c>
      <c r="E180" s="28">
        <v>75</v>
      </c>
      <c r="F180" s="18">
        <f t="shared" si="23"/>
        <v>13.46</v>
      </c>
      <c r="G180" s="26">
        <f>ROUND(441.63/E180,2)</f>
        <v>5.89</v>
      </c>
      <c r="H180" s="13">
        <f t="shared" si="28"/>
        <v>13.46</v>
      </c>
    </row>
    <row r="181" spans="1:8" s="13" customFormat="1" ht="15.95" customHeight="1">
      <c r="A181" s="27">
        <v>139</v>
      </c>
      <c r="B181" s="31" t="s">
        <v>132</v>
      </c>
      <c r="C181" s="30" t="s">
        <v>133</v>
      </c>
      <c r="D181" s="17">
        <v>4038.8</v>
      </c>
      <c r="E181" s="28">
        <v>73</v>
      </c>
      <c r="F181" s="18">
        <f t="shared" si="23"/>
        <v>13.83</v>
      </c>
      <c r="G181" s="19">
        <f>ROUND(469.47/E181,2)</f>
        <v>6.43</v>
      </c>
      <c r="H181" s="13">
        <f t="shared" si="28"/>
        <v>13.83</v>
      </c>
    </row>
    <row r="182" spans="1:8" s="13" customFormat="1" ht="8.1" customHeight="1">
      <c r="A182" s="90">
        <v>140</v>
      </c>
      <c r="B182" s="92" t="s">
        <v>765</v>
      </c>
      <c r="C182" s="20" t="s">
        <v>12</v>
      </c>
      <c r="D182" s="82">
        <f>4038.8+4464</f>
        <v>8502.7999999999993</v>
      </c>
      <c r="E182" s="71">
        <f>144+72</f>
        <v>216</v>
      </c>
      <c r="F182" s="73">
        <f t="shared" si="23"/>
        <v>9.84</v>
      </c>
      <c r="G182" s="76">
        <f>ROUND((441.63+451.2)/E182,2)</f>
        <v>4.13</v>
      </c>
      <c r="H182" s="67">
        <f>ROUND((1009.71+1116)/E182,2)</f>
        <v>9.84</v>
      </c>
    </row>
    <row r="183" spans="1:8" s="13" customFormat="1" ht="8.1" customHeight="1">
      <c r="A183" s="91"/>
      <c r="B183" s="93"/>
      <c r="C183" s="21" t="s">
        <v>16</v>
      </c>
      <c r="D183" s="84" t="e">
        <f>#REF!+#REF!</f>
        <v>#REF!</v>
      </c>
      <c r="E183" s="72"/>
      <c r="F183" s="74" t="e">
        <f t="shared" si="23"/>
        <v>#REF!</v>
      </c>
      <c r="G183" s="76" t="e">
        <f t="shared" si="27"/>
        <v>#DIV/0!</v>
      </c>
      <c r="H183" s="67"/>
    </row>
    <row r="184" spans="1:8" s="13" customFormat="1" ht="8.1" customHeight="1">
      <c r="A184" s="90">
        <v>141</v>
      </c>
      <c r="B184" s="92" t="s">
        <v>766</v>
      </c>
      <c r="C184" s="20" t="s">
        <v>14</v>
      </c>
      <c r="D184" s="82">
        <f>4038.8*2</f>
        <v>8077.6</v>
      </c>
      <c r="E184" s="71">
        <f>59+59</f>
        <v>118</v>
      </c>
      <c r="F184" s="73">
        <f t="shared" si="23"/>
        <v>17.11</v>
      </c>
      <c r="G184" s="76">
        <f>ROUND(441.63*2/E184,2)</f>
        <v>7.49</v>
      </c>
      <c r="H184" s="67">
        <f>ROUND(1009.71*2/E184,2)</f>
        <v>17.11</v>
      </c>
    </row>
    <row r="185" spans="1:8" s="13" customFormat="1" ht="8.1" customHeight="1">
      <c r="A185" s="91"/>
      <c r="B185" s="93"/>
      <c r="C185" s="38" t="s">
        <v>14</v>
      </c>
      <c r="D185" s="84" t="e">
        <f>#REF!+#REF!</f>
        <v>#REF!</v>
      </c>
      <c r="E185" s="72"/>
      <c r="F185" s="74" t="e">
        <f t="shared" si="23"/>
        <v>#REF!</v>
      </c>
      <c r="G185" s="76"/>
      <c r="H185" s="67"/>
    </row>
    <row r="186" spans="1:8" s="13" customFormat="1" ht="15.95" customHeight="1">
      <c r="A186" s="27">
        <v>142</v>
      </c>
      <c r="B186" s="31" t="s">
        <v>134</v>
      </c>
      <c r="C186" s="16" t="s">
        <v>24</v>
      </c>
      <c r="D186" s="17">
        <v>3590</v>
      </c>
      <c r="E186" s="28">
        <v>46</v>
      </c>
      <c r="F186" s="18">
        <f t="shared" si="23"/>
        <v>19.510000000000002</v>
      </c>
      <c r="G186" s="26">
        <f t="shared" ref="G186" si="30">ROUND(441.63/E186,2)</f>
        <v>9.6</v>
      </c>
      <c r="H186" s="13">
        <f>ROUND(897.51/E186,2)</f>
        <v>19.510000000000002</v>
      </c>
    </row>
    <row r="187" spans="1:8" s="13" customFormat="1" ht="15.95" customHeight="1">
      <c r="A187" s="27">
        <v>143</v>
      </c>
      <c r="B187" s="31" t="s">
        <v>135</v>
      </c>
      <c r="C187" s="16" t="s">
        <v>16</v>
      </c>
      <c r="D187" s="17">
        <v>4038.8</v>
      </c>
      <c r="E187" s="28">
        <v>81</v>
      </c>
      <c r="F187" s="18">
        <f t="shared" si="23"/>
        <v>12.47</v>
      </c>
      <c r="G187" s="26">
        <f>ROUND(441.63/E187,2)</f>
        <v>5.45</v>
      </c>
      <c r="H187" s="13">
        <f t="shared" si="28"/>
        <v>12.47</v>
      </c>
    </row>
    <row r="188" spans="1:8" s="13" customFormat="1" ht="15.95" customHeight="1">
      <c r="A188" s="27">
        <v>144</v>
      </c>
      <c r="B188" s="31" t="s">
        <v>136</v>
      </c>
      <c r="C188" s="30" t="s">
        <v>137</v>
      </c>
      <c r="D188" s="17">
        <v>4464</v>
      </c>
      <c r="E188" s="28">
        <v>137</v>
      </c>
      <c r="F188" s="18">
        <f t="shared" si="23"/>
        <v>8.15</v>
      </c>
      <c r="G188" s="26">
        <f>ROUND(482.49/E188,2)</f>
        <v>3.52</v>
      </c>
      <c r="H188" s="13">
        <f>ROUND(1116/E188,2)</f>
        <v>8.15</v>
      </c>
    </row>
    <row r="189" spans="1:8" s="13" customFormat="1" ht="15.95" customHeight="1">
      <c r="A189" s="27">
        <v>145</v>
      </c>
      <c r="B189" s="31" t="s">
        <v>138</v>
      </c>
      <c r="C189" s="20" t="s">
        <v>14</v>
      </c>
      <c r="D189" s="17">
        <v>4038.8</v>
      </c>
      <c r="E189" s="28">
        <v>82</v>
      </c>
      <c r="F189" s="18">
        <f t="shared" si="23"/>
        <v>12.31</v>
      </c>
      <c r="G189" s="26">
        <f t="shared" ref="G189" si="31">ROUND(441.63/E189,2)</f>
        <v>5.39</v>
      </c>
      <c r="H189" s="13">
        <f t="shared" si="28"/>
        <v>12.31</v>
      </c>
    </row>
    <row r="190" spans="1:8" s="13" customFormat="1" ht="15" customHeight="1">
      <c r="A190" s="27">
        <v>146</v>
      </c>
      <c r="B190" s="31" t="s">
        <v>139</v>
      </c>
      <c r="C190" s="16" t="s">
        <v>49</v>
      </c>
      <c r="D190" s="17">
        <v>3590</v>
      </c>
      <c r="E190" s="28">
        <v>16</v>
      </c>
      <c r="F190" s="18">
        <f t="shared" si="23"/>
        <v>56.09</v>
      </c>
      <c r="G190" s="26">
        <f>ROUND(441.63/E190,2)</f>
        <v>27.6</v>
      </c>
      <c r="H190" s="13">
        <f>ROUND(897.51/E190,2)</f>
        <v>56.09</v>
      </c>
    </row>
    <row r="191" spans="1:8" s="13" customFormat="1" ht="5.45" customHeight="1">
      <c r="A191" s="90">
        <v>147</v>
      </c>
      <c r="B191" s="92" t="s">
        <v>767</v>
      </c>
      <c r="C191" s="20" t="s">
        <v>60</v>
      </c>
      <c r="D191" s="69">
        <f>4464*2+2702.6</f>
        <v>11630.6</v>
      </c>
      <c r="E191" s="71">
        <f>109+109+36</f>
        <v>254</v>
      </c>
      <c r="F191" s="73">
        <f t="shared" si="23"/>
        <v>11.45</v>
      </c>
      <c r="G191" s="76">
        <f>ROUND((441.63+451.2*2)/E191,2)</f>
        <v>5.29</v>
      </c>
      <c r="H191" s="67">
        <f>ROUND((1116*2+675.66)/E191,2)</f>
        <v>11.45</v>
      </c>
    </row>
    <row r="192" spans="1:8" s="13" customFormat="1" ht="5.45" customHeight="1">
      <c r="A192" s="94"/>
      <c r="B192" s="98"/>
      <c r="C192" s="22" t="s">
        <v>60</v>
      </c>
      <c r="D192" s="77" t="e">
        <f>#REF!+#REF!</f>
        <v>#REF!</v>
      </c>
      <c r="E192" s="85"/>
      <c r="F192" s="81" t="e">
        <f t="shared" si="23"/>
        <v>#REF!</v>
      </c>
      <c r="G192" s="76" t="e">
        <f t="shared" si="27"/>
        <v>#DIV/0!</v>
      </c>
      <c r="H192" s="67"/>
    </row>
    <row r="193" spans="1:8" s="13" customFormat="1" ht="5.45" customHeight="1">
      <c r="A193" s="91"/>
      <c r="B193" s="93"/>
      <c r="C193" s="38" t="s">
        <v>20</v>
      </c>
      <c r="D193" s="70" t="e">
        <f>#REF!+#REF!</f>
        <v>#REF!</v>
      </c>
      <c r="E193" s="72"/>
      <c r="F193" s="74" t="e">
        <f t="shared" si="23"/>
        <v>#REF!</v>
      </c>
      <c r="G193" s="76" t="e">
        <f t="shared" si="27"/>
        <v>#DIV/0!</v>
      </c>
      <c r="H193" s="67"/>
    </row>
    <row r="194" spans="1:8" s="13" customFormat="1" ht="15.95" customHeight="1">
      <c r="A194" s="27">
        <v>148</v>
      </c>
      <c r="B194" s="31" t="s">
        <v>140</v>
      </c>
      <c r="C194" s="16" t="s">
        <v>19</v>
      </c>
      <c r="D194" s="17">
        <v>3590</v>
      </c>
      <c r="E194" s="28">
        <v>41</v>
      </c>
      <c r="F194" s="18">
        <f t="shared" si="23"/>
        <v>21.89</v>
      </c>
      <c r="G194" s="26">
        <f>ROUND(441.63/E194,2)</f>
        <v>10.77</v>
      </c>
      <c r="H194" s="13">
        <f>ROUND(897.51/E194,2)</f>
        <v>21.89</v>
      </c>
    </row>
    <row r="195" spans="1:8" s="13" customFormat="1" ht="15.95" customHeight="1">
      <c r="A195" s="27">
        <v>149</v>
      </c>
      <c r="B195" s="31" t="s">
        <v>141</v>
      </c>
      <c r="C195" s="16" t="s">
        <v>142</v>
      </c>
      <c r="D195" s="17">
        <v>4851.6000000000004</v>
      </c>
      <c r="E195" s="28">
        <v>178</v>
      </c>
      <c r="F195" s="18">
        <f t="shared" si="23"/>
        <v>6.81</v>
      </c>
      <c r="G195" s="26">
        <f>ROUND(452.88/E195,2)</f>
        <v>2.54</v>
      </c>
      <c r="H195" s="13">
        <f>ROUND(1212.9/E195,2)</f>
        <v>6.81</v>
      </c>
    </row>
    <row r="196" spans="1:8" s="13" customFormat="1" ht="15.95" customHeight="1">
      <c r="A196" s="27">
        <v>150</v>
      </c>
      <c r="B196" s="31" t="s">
        <v>143</v>
      </c>
      <c r="C196" s="16" t="s">
        <v>18</v>
      </c>
      <c r="D196" s="17">
        <v>2702.6</v>
      </c>
      <c r="E196" s="28">
        <v>8</v>
      </c>
      <c r="F196" s="18">
        <f t="shared" si="23"/>
        <v>84.46</v>
      </c>
      <c r="G196" s="26">
        <f t="shared" ref="G196:G201" si="32">ROUND(441.63/E196,2)</f>
        <v>55.2</v>
      </c>
      <c r="H196" s="13">
        <f>ROUND(675.66/E196,2)</f>
        <v>84.46</v>
      </c>
    </row>
    <row r="197" spans="1:8" s="13" customFormat="1" ht="15.95" customHeight="1">
      <c r="A197" s="27">
        <v>151</v>
      </c>
      <c r="B197" s="31" t="s">
        <v>144</v>
      </c>
      <c r="C197" s="16" t="s">
        <v>18</v>
      </c>
      <c r="D197" s="17">
        <v>2702.6</v>
      </c>
      <c r="E197" s="28">
        <v>12</v>
      </c>
      <c r="F197" s="18">
        <f t="shared" si="23"/>
        <v>56.3</v>
      </c>
      <c r="G197" s="26">
        <f t="shared" si="32"/>
        <v>36.799999999999997</v>
      </c>
      <c r="H197" s="13">
        <f>ROUND(675.66/E197,2)</f>
        <v>56.31</v>
      </c>
    </row>
    <row r="198" spans="1:8" s="13" customFormat="1" ht="15.95" customHeight="1">
      <c r="A198" s="27">
        <v>152</v>
      </c>
      <c r="B198" s="31" t="s">
        <v>145</v>
      </c>
      <c r="C198" s="16" t="s">
        <v>14</v>
      </c>
      <c r="D198" s="17">
        <v>4038.8</v>
      </c>
      <c r="E198" s="28">
        <v>77</v>
      </c>
      <c r="F198" s="18">
        <f t="shared" si="23"/>
        <v>13.11</v>
      </c>
      <c r="G198" s="26">
        <f t="shared" si="32"/>
        <v>5.74</v>
      </c>
      <c r="H198" s="13">
        <f>ROUND(1009.71/E198,2)</f>
        <v>13.11</v>
      </c>
    </row>
    <row r="199" spans="1:8" s="13" customFormat="1" ht="15.95" customHeight="1">
      <c r="A199" s="27">
        <v>153</v>
      </c>
      <c r="B199" s="31" t="s">
        <v>146</v>
      </c>
      <c r="C199" s="16" t="s">
        <v>18</v>
      </c>
      <c r="D199" s="17">
        <v>2702.6</v>
      </c>
      <c r="E199" s="28">
        <v>29</v>
      </c>
      <c r="F199" s="18">
        <f t="shared" si="23"/>
        <v>23.3</v>
      </c>
      <c r="G199" s="26">
        <f t="shared" si="32"/>
        <v>15.23</v>
      </c>
      <c r="H199" s="13">
        <f>ROUND(675.66/E199,2)</f>
        <v>23.3</v>
      </c>
    </row>
    <row r="200" spans="1:8" s="13" customFormat="1" ht="15.95" customHeight="1">
      <c r="A200" s="27">
        <v>154</v>
      </c>
      <c r="B200" s="31" t="s">
        <v>147</v>
      </c>
      <c r="C200" s="20" t="s">
        <v>148</v>
      </c>
      <c r="D200" s="17">
        <v>3590</v>
      </c>
      <c r="E200" s="28">
        <v>31</v>
      </c>
      <c r="F200" s="18">
        <f t="shared" si="23"/>
        <v>28.95</v>
      </c>
      <c r="G200" s="26">
        <f t="shared" si="32"/>
        <v>14.25</v>
      </c>
      <c r="H200" s="13">
        <f t="shared" ref="H200:H205" si="33">ROUND(897.51/E200,2)</f>
        <v>28.95</v>
      </c>
    </row>
    <row r="201" spans="1:8" s="13" customFormat="1" ht="15.95" customHeight="1">
      <c r="A201" s="27">
        <v>155</v>
      </c>
      <c r="B201" s="31" t="s">
        <v>149</v>
      </c>
      <c r="C201" s="16" t="s">
        <v>14</v>
      </c>
      <c r="D201" s="17">
        <v>4038.8</v>
      </c>
      <c r="E201" s="28">
        <v>44</v>
      </c>
      <c r="F201" s="18">
        <f t="shared" si="23"/>
        <v>22.95</v>
      </c>
      <c r="G201" s="26">
        <f t="shared" si="32"/>
        <v>10.039999999999999</v>
      </c>
      <c r="H201" s="13">
        <f>ROUND(1009.71/E201,2)</f>
        <v>22.95</v>
      </c>
    </row>
    <row r="202" spans="1:8" s="13" customFormat="1" ht="15.95" customHeight="1">
      <c r="A202" s="27">
        <v>156</v>
      </c>
      <c r="B202" s="31" t="s">
        <v>150</v>
      </c>
      <c r="C202" s="16" t="s">
        <v>49</v>
      </c>
      <c r="D202" s="17">
        <v>3590</v>
      </c>
      <c r="E202" s="28">
        <v>41</v>
      </c>
      <c r="F202" s="18">
        <f t="shared" si="23"/>
        <v>21.89</v>
      </c>
      <c r="G202" s="26">
        <f>ROUND(441.63/E202,2)</f>
        <v>10.77</v>
      </c>
      <c r="H202" s="13">
        <f>ROUND(897.51/E202,2)</f>
        <v>21.89</v>
      </c>
    </row>
    <row r="203" spans="1:8" s="13" customFormat="1" ht="15.95" customHeight="1">
      <c r="A203" s="27">
        <v>157</v>
      </c>
      <c r="B203" s="31" t="s">
        <v>151</v>
      </c>
      <c r="C203" s="16" t="s">
        <v>12</v>
      </c>
      <c r="D203" s="17">
        <v>4464</v>
      </c>
      <c r="E203" s="28">
        <v>99</v>
      </c>
      <c r="F203" s="18">
        <f t="shared" si="23"/>
        <v>11.27</v>
      </c>
      <c r="G203" s="19">
        <f>ROUND(451.2/E203,2)</f>
        <v>4.5599999999999996</v>
      </c>
      <c r="H203" s="13">
        <f>ROUND(1116/E203,2)</f>
        <v>11.27</v>
      </c>
    </row>
    <row r="204" spans="1:8" s="13" customFormat="1" ht="15.95" customHeight="1">
      <c r="A204" s="27">
        <v>158</v>
      </c>
      <c r="B204" s="31" t="s">
        <v>152</v>
      </c>
      <c r="C204" s="16" t="s">
        <v>24</v>
      </c>
      <c r="D204" s="17">
        <v>3590</v>
      </c>
      <c r="E204" s="28">
        <v>35</v>
      </c>
      <c r="F204" s="18">
        <f t="shared" si="23"/>
        <v>25.64</v>
      </c>
      <c r="G204" s="26">
        <f t="shared" ref="G204:G205" si="34">ROUND(441.63/E204,2)</f>
        <v>12.62</v>
      </c>
      <c r="H204" s="13">
        <f t="shared" si="33"/>
        <v>25.64</v>
      </c>
    </row>
    <row r="205" spans="1:8" s="13" customFormat="1" ht="15.95" customHeight="1">
      <c r="A205" s="27">
        <v>159</v>
      </c>
      <c r="B205" s="31" t="s">
        <v>153</v>
      </c>
      <c r="C205" s="16" t="s">
        <v>24</v>
      </c>
      <c r="D205" s="17">
        <v>3590</v>
      </c>
      <c r="E205" s="28">
        <v>53</v>
      </c>
      <c r="F205" s="18">
        <f t="shared" ref="F205:F268" si="35">ROUND(D205/E205/4,2)</f>
        <v>16.93</v>
      </c>
      <c r="G205" s="26">
        <f t="shared" si="34"/>
        <v>8.33</v>
      </c>
      <c r="H205" s="13">
        <f t="shared" si="33"/>
        <v>16.93</v>
      </c>
    </row>
    <row r="206" spans="1:8" s="13" customFormat="1" ht="15.95" customHeight="1">
      <c r="A206" s="27">
        <v>160</v>
      </c>
      <c r="B206" s="31" t="s">
        <v>154</v>
      </c>
      <c r="C206" s="30" t="s">
        <v>155</v>
      </c>
      <c r="D206" s="17">
        <v>4464</v>
      </c>
      <c r="E206" s="28">
        <v>66</v>
      </c>
      <c r="F206" s="18">
        <f t="shared" si="35"/>
        <v>16.91</v>
      </c>
      <c r="G206" s="19">
        <f>ROUND(482.49/E206,2)</f>
        <v>7.31</v>
      </c>
      <c r="H206" s="13">
        <f>ROUND(1116/E206,2)</f>
        <v>16.91</v>
      </c>
    </row>
    <row r="207" spans="1:8" s="13" customFormat="1" ht="1.7" customHeight="1">
      <c r="A207" s="90">
        <v>161</v>
      </c>
      <c r="B207" s="92" t="s">
        <v>768</v>
      </c>
      <c r="C207" s="20" t="s">
        <v>49</v>
      </c>
      <c r="D207" s="82">
        <f>3590*8+6410.8</f>
        <v>35130.800000000003</v>
      </c>
      <c r="E207" s="71">
        <f>36+35+36+36+36+36+36+35</f>
        <v>286</v>
      </c>
      <c r="F207" s="73">
        <f t="shared" si="35"/>
        <v>30.71</v>
      </c>
      <c r="G207" s="75">
        <f>ROUND((441.63*8+705.6)/E207,2)</f>
        <v>14.82</v>
      </c>
      <c r="H207" s="43">
        <f>ROUND((897.51*8+1602.69)/E207,2)</f>
        <v>30.71</v>
      </c>
    </row>
    <row r="208" spans="1:8" s="13" customFormat="1" ht="1.7" customHeight="1">
      <c r="A208" s="94"/>
      <c r="B208" s="98"/>
      <c r="C208" s="22" t="s">
        <v>49</v>
      </c>
      <c r="D208" s="83" t="e">
        <f>#REF!+#REF!</f>
        <v>#REF!</v>
      </c>
      <c r="E208" s="85"/>
      <c r="F208" s="81" t="e">
        <f t="shared" si="35"/>
        <v>#REF!</v>
      </c>
      <c r="G208" s="75" t="e">
        <f t="shared" ref="G208:G268" si="36">ROUND(512.79/E208,2)</f>
        <v>#DIV/0!</v>
      </c>
      <c r="H208" s="67">
        <f>ROUND((897.51*8+1602.69)/E207,2)</f>
        <v>30.71</v>
      </c>
    </row>
    <row r="209" spans="1:8" s="13" customFormat="1" ht="1.7" customHeight="1">
      <c r="A209" s="94"/>
      <c r="B209" s="98"/>
      <c r="C209" s="22" t="s">
        <v>49</v>
      </c>
      <c r="D209" s="83" t="e">
        <f>#REF!+#REF!</f>
        <v>#REF!</v>
      </c>
      <c r="E209" s="85"/>
      <c r="F209" s="81" t="e">
        <f t="shared" si="35"/>
        <v>#REF!</v>
      </c>
      <c r="G209" s="75" t="e">
        <f t="shared" si="36"/>
        <v>#DIV/0!</v>
      </c>
      <c r="H209" s="67"/>
    </row>
    <row r="210" spans="1:8" s="13" customFormat="1" ht="1.7" customHeight="1">
      <c r="A210" s="94"/>
      <c r="B210" s="98"/>
      <c r="C210" s="22" t="s">
        <v>49</v>
      </c>
      <c r="D210" s="83" t="e">
        <f>#REF!+#REF!</f>
        <v>#REF!</v>
      </c>
      <c r="E210" s="85"/>
      <c r="F210" s="81" t="e">
        <f t="shared" si="35"/>
        <v>#REF!</v>
      </c>
      <c r="G210" s="75" t="e">
        <f t="shared" si="36"/>
        <v>#DIV/0!</v>
      </c>
      <c r="H210" s="67"/>
    </row>
    <row r="211" spans="1:8" s="13" customFormat="1" ht="1.7" customHeight="1">
      <c r="A211" s="94"/>
      <c r="B211" s="98"/>
      <c r="C211" s="22" t="s">
        <v>49</v>
      </c>
      <c r="D211" s="83" t="e">
        <f>#REF!+#REF!</f>
        <v>#REF!</v>
      </c>
      <c r="E211" s="85"/>
      <c r="F211" s="81" t="e">
        <f t="shared" si="35"/>
        <v>#REF!</v>
      </c>
      <c r="G211" s="75" t="e">
        <f t="shared" si="36"/>
        <v>#DIV/0!</v>
      </c>
      <c r="H211" s="67"/>
    </row>
    <row r="212" spans="1:8" s="13" customFormat="1" ht="1.7" customHeight="1">
      <c r="A212" s="94"/>
      <c r="B212" s="98"/>
      <c r="C212" s="22" t="s">
        <v>49</v>
      </c>
      <c r="D212" s="83" t="e">
        <f>#REF!+#REF!</f>
        <v>#REF!</v>
      </c>
      <c r="E212" s="85"/>
      <c r="F212" s="81" t="e">
        <f t="shared" si="35"/>
        <v>#REF!</v>
      </c>
      <c r="G212" s="75" t="e">
        <f t="shared" si="36"/>
        <v>#DIV/0!</v>
      </c>
      <c r="H212" s="67"/>
    </row>
    <row r="213" spans="1:8" s="13" customFormat="1" ht="1.7" customHeight="1">
      <c r="A213" s="94"/>
      <c r="B213" s="98"/>
      <c r="C213" s="22" t="s">
        <v>49</v>
      </c>
      <c r="D213" s="83" t="e">
        <f>#REF!+#REF!</f>
        <v>#REF!</v>
      </c>
      <c r="E213" s="85"/>
      <c r="F213" s="81" t="e">
        <f t="shared" si="35"/>
        <v>#REF!</v>
      </c>
      <c r="G213" s="75" t="e">
        <f t="shared" si="36"/>
        <v>#DIV/0!</v>
      </c>
      <c r="H213" s="67"/>
    </row>
    <row r="214" spans="1:8" s="13" customFormat="1" ht="1.7" customHeight="1">
      <c r="A214" s="94"/>
      <c r="B214" s="98"/>
      <c r="C214" s="22" t="s">
        <v>49</v>
      </c>
      <c r="D214" s="83" t="e">
        <f>#REF!+#REF!</f>
        <v>#REF!</v>
      </c>
      <c r="E214" s="85"/>
      <c r="F214" s="81" t="e">
        <f t="shared" si="35"/>
        <v>#REF!</v>
      </c>
      <c r="G214" s="75" t="e">
        <f t="shared" si="36"/>
        <v>#DIV/0!</v>
      </c>
      <c r="H214" s="67"/>
    </row>
    <row r="215" spans="1:8" s="13" customFormat="1" ht="1.7" customHeight="1">
      <c r="A215" s="91"/>
      <c r="B215" s="93"/>
      <c r="C215" s="23" t="s">
        <v>156</v>
      </c>
      <c r="D215" s="84" t="e">
        <f>#REF!+#REF!</f>
        <v>#REF!</v>
      </c>
      <c r="E215" s="72"/>
      <c r="F215" s="74" t="e">
        <f t="shared" si="35"/>
        <v>#REF!</v>
      </c>
      <c r="G215" s="75" t="e">
        <f t="shared" si="36"/>
        <v>#DIV/0!</v>
      </c>
      <c r="H215" s="67"/>
    </row>
    <row r="216" spans="1:8" s="13" customFormat="1" ht="2.65" customHeight="1">
      <c r="A216" s="90">
        <v>162</v>
      </c>
      <c r="B216" s="92" t="s">
        <v>769</v>
      </c>
      <c r="C216" s="20" t="s">
        <v>15</v>
      </c>
      <c r="D216" s="69">
        <f>3590*6</f>
        <v>21540</v>
      </c>
      <c r="E216" s="78">
        <f>36+36+35+53+53+53</f>
        <v>266</v>
      </c>
      <c r="F216" s="73">
        <f t="shared" si="35"/>
        <v>20.239999999999998</v>
      </c>
      <c r="G216" s="76">
        <f>ROUND(441.63*6/E216,2)</f>
        <v>9.9600000000000009</v>
      </c>
      <c r="H216" s="67">
        <f>ROUND(897.51*6/E216,2)</f>
        <v>20.239999999999998</v>
      </c>
    </row>
    <row r="217" spans="1:8" s="13" customFormat="1" ht="2.65" customHeight="1">
      <c r="A217" s="94"/>
      <c r="B217" s="98"/>
      <c r="C217" s="22" t="s">
        <v>49</v>
      </c>
      <c r="D217" s="77" t="e">
        <f>#REF!+#REF!</f>
        <v>#REF!</v>
      </c>
      <c r="E217" s="79"/>
      <c r="F217" s="81" t="e">
        <f t="shared" si="35"/>
        <v>#REF!</v>
      </c>
      <c r="G217" s="76" t="e">
        <f t="shared" si="36"/>
        <v>#DIV/0!</v>
      </c>
      <c r="H217" s="67"/>
    </row>
    <row r="218" spans="1:8" s="13" customFormat="1" ht="2.65" customHeight="1">
      <c r="A218" s="94"/>
      <c r="B218" s="98"/>
      <c r="C218" s="22" t="s">
        <v>49</v>
      </c>
      <c r="D218" s="77" t="e">
        <f>#REF!+#REF!</f>
        <v>#REF!</v>
      </c>
      <c r="E218" s="79"/>
      <c r="F218" s="81" t="e">
        <f t="shared" si="35"/>
        <v>#REF!</v>
      </c>
      <c r="G218" s="76" t="e">
        <f t="shared" si="36"/>
        <v>#DIV/0!</v>
      </c>
      <c r="H218" s="67"/>
    </row>
    <row r="219" spans="1:8" s="13" customFormat="1" ht="2.65" customHeight="1">
      <c r="A219" s="94"/>
      <c r="B219" s="98"/>
      <c r="C219" s="22" t="s">
        <v>49</v>
      </c>
      <c r="D219" s="77" t="e">
        <f>#REF!+#REF!</f>
        <v>#REF!</v>
      </c>
      <c r="E219" s="79"/>
      <c r="F219" s="81" t="e">
        <f t="shared" si="35"/>
        <v>#REF!</v>
      </c>
      <c r="G219" s="76" t="e">
        <f t="shared" si="36"/>
        <v>#DIV/0!</v>
      </c>
      <c r="H219" s="67"/>
    </row>
    <row r="220" spans="1:8" s="13" customFormat="1" ht="2.65" customHeight="1">
      <c r="A220" s="94"/>
      <c r="B220" s="98"/>
      <c r="C220" s="22" t="s">
        <v>49</v>
      </c>
      <c r="D220" s="77" t="e">
        <f>#REF!+#REF!</f>
        <v>#REF!</v>
      </c>
      <c r="E220" s="79"/>
      <c r="F220" s="81" t="e">
        <f t="shared" si="35"/>
        <v>#REF!</v>
      </c>
      <c r="G220" s="76" t="e">
        <f t="shared" si="36"/>
        <v>#DIV/0!</v>
      </c>
      <c r="H220" s="67"/>
    </row>
    <row r="221" spans="1:8" s="13" customFormat="1" ht="2.65" customHeight="1">
      <c r="A221" s="91"/>
      <c r="B221" s="93"/>
      <c r="C221" s="22" t="s">
        <v>49</v>
      </c>
      <c r="D221" s="70" t="e">
        <f>#REF!+#REF!</f>
        <v>#REF!</v>
      </c>
      <c r="E221" s="80"/>
      <c r="F221" s="74" t="e">
        <f t="shared" si="35"/>
        <v>#REF!</v>
      </c>
      <c r="G221" s="76" t="e">
        <f t="shared" si="36"/>
        <v>#DIV/0!</v>
      </c>
      <c r="H221" s="67"/>
    </row>
    <row r="222" spans="1:8" s="13" customFormat="1" ht="15.95" customHeight="1">
      <c r="A222" s="27">
        <v>163</v>
      </c>
      <c r="B222" s="31" t="s">
        <v>157</v>
      </c>
      <c r="C222" s="20" t="s">
        <v>158</v>
      </c>
      <c r="D222" s="17">
        <v>4851.6000000000004</v>
      </c>
      <c r="E222" s="28">
        <v>196</v>
      </c>
      <c r="F222" s="18">
        <f t="shared" si="35"/>
        <v>6.19</v>
      </c>
      <c r="G222" s="26">
        <f>ROUND(452.88/E222,2)</f>
        <v>2.31</v>
      </c>
      <c r="H222" s="13">
        <f>ROUND(1212.9/E222,2)</f>
        <v>6.19</v>
      </c>
    </row>
    <row r="223" spans="1:8" s="13" customFormat="1" ht="15.95" customHeight="1">
      <c r="A223" s="27">
        <v>164</v>
      </c>
      <c r="B223" s="31" t="s">
        <v>159</v>
      </c>
      <c r="C223" s="16" t="s">
        <v>12</v>
      </c>
      <c r="D223" s="17">
        <v>4464</v>
      </c>
      <c r="E223" s="28">
        <v>107</v>
      </c>
      <c r="F223" s="18">
        <f t="shared" si="35"/>
        <v>10.43</v>
      </c>
      <c r="G223" s="19">
        <f>ROUND(451.2/E223,2)</f>
        <v>4.22</v>
      </c>
      <c r="H223" s="13">
        <f t="shared" ref="H223:H264" si="37">ROUND(1116/E223,2)</f>
        <v>10.43</v>
      </c>
    </row>
    <row r="224" spans="1:8" s="13" customFormat="1" ht="2.65" customHeight="1">
      <c r="A224" s="90">
        <v>165</v>
      </c>
      <c r="B224" s="92" t="s">
        <v>770</v>
      </c>
      <c r="C224" s="20" t="s">
        <v>15</v>
      </c>
      <c r="D224" s="69">
        <f>3590*5+6410.8</f>
        <v>24360.799999999999</v>
      </c>
      <c r="E224" s="78">
        <f>36+36+54+63+54</f>
        <v>243</v>
      </c>
      <c r="F224" s="73">
        <f t="shared" si="35"/>
        <v>25.06</v>
      </c>
      <c r="G224" s="76">
        <f>ROUND((441.63*5+705.6)/E224,2)</f>
        <v>11.99</v>
      </c>
      <c r="H224" s="67">
        <f>ROUND((897.51*5+1602.69)/E224,2)</f>
        <v>25.06</v>
      </c>
    </row>
    <row r="225" spans="1:8" s="13" customFormat="1" ht="2.65" customHeight="1">
      <c r="A225" s="94"/>
      <c r="B225" s="98"/>
      <c r="C225" s="22" t="s">
        <v>49</v>
      </c>
      <c r="D225" s="77" t="e">
        <f>#REF!+#REF!</f>
        <v>#REF!</v>
      </c>
      <c r="E225" s="79"/>
      <c r="F225" s="81" t="e">
        <f t="shared" si="35"/>
        <v>#REF!</v>
      </c>
      <c r="G225" s="76" t="e">
        <f t="shared" si="36"/>
        <v>#DIV/0!</v>
      </c>
      <c r="H225" s="67"/>
    </row>
    <row r="226" spans="1:8" s="13" customFormat="1" ht="2.65" customHeight="1">
      <c r="A226" s="94"/>
      <c r="B226" s="98"/>
      <c r="C226" s="22" t="s">
        <v>49</v>
      </c>
      <c r="D226" s="77" t="e">
        <f>#REF!+#REF!</f>
        <v>#REF!</v>
      </c>
      <c r="E226" s="79"/>
      <c r="F226" s="81" t="e">
        <f t="shared" si="35"/>
        <v>#REF!</v>
      </c>
      <c r="G226" s="76" t="e">
        <f t="shared" si="36"/>
        <v>#DIV/0!</v>
      </c>
      <c r="H226" s="67"/>
    </row>
    <row r="227" spans="1:8" s="13" customFormat="1" ht="2.65" customHeight="1">
      <c r="A227" s="94"/>
      <c r="B227" s="98"/>
      <c r="C227" s="22" t="s">
        <v>49</v>
      </c>
      <c r="D227" s="77" t="e">
        <f>#REF!+#REF!</f>
        <v>#REF!</v>
      </c>
      <c r="E227" s="79"/>
      <c r="F227" s="81" t="e">
        <f t="shared" si="35"/>
        <v>#REF!</v>
      </c>
      <c r="G227" s="76" t="e">
        <f t="shared" si="36"/>
        <v>#DIV/0!</v>
      </c>
      <c r="H227" s="67"/>
    </row>
    <row r="228" spans="1:8" s="13" customFormat="1" ht="2.65" customHeight="1">
      <c r="A228" s="94"/>
      <c r="B228" s="98"/>
      <c r="C228" s="22" t="s">
        <v>49</v>
      </c>
      <c r="D228" s="77" t="e">
        <f>#REF!+#REF!</f>
        <v>#REF!</v>
      </c>
      <c r="E228" s="79"/>
      <c r="F228" s="81" t="e">
        <f t="shared" si="35"/>
        <v>#REF!</v>
      </c>
      <c r="G228" s="76" t="e">
        <f t="shared" si="36"/>
        <v>#DIV/0!</v>
      </c>
      <c r="H228" s="67"/>
    </row>
    <row r="229" spans="1:8" s="13" customFormat="1" ht="2.65" customHeight="1">
      <c r="A229" s="91"/>
      <c r="B229" s="93"/>
      <c r="C229" s="22" t="s">
        <v>160</v>
      </c>
      <c r="D229" s="70" t="e">
        <f>#REF!+#REF!</f>
        <v>#REF!</v>
      </c>
      <c r="E229" s="80"/>
      <c r="F229" s="74" t="e">
        <f t="shared" si="35"/>
        <v>#REF!</v>
      </c>
      <c r="G229" s="76" t="e">
        <f t="shared" si="36"/>
        <v>#DIV/0!</v>
      </c>
      <c r="H229" s="67"/>
    </row>
    <row r="230" spans="1:8" s="13" customFormat="1" ht="15.95" customHeight="1">
      <c r="A230" s="27">
        <v>166</v>
      </c>
      <c r="B230" s="31" t="s">
        <v>161</v>
      </c>
      <c r="C230" s="16" t="s">
        <v>12</v>
      </c>
      <c r="D230" s="17">
        <v>4464</v>
      </c>
      <c r="E230" s="28">
        <v>180</v>
      </c>
      <c r="F230" s="18">
        <f t="shared" si="35"/>
        <v>6.2</v>
      </c>
      <c r="G230" s="19">
        <f t="shared" ref="G230:G231" si="38">ROUND(451.2/E230,2)</f>
        <v>2.5099999999999998</v>
      </c>
      <c r="H230" s="13">
        <f t="shared" si="37"/>
        <v>6.2</v>
      </c>
    </row>
    <row r="231" spans="1:8" s="13" customFormat="1" ht="15.95" customHeight="1">
      <c r="A231" s="27">
        <v>167</v>
      </c>
      <c r="B231" s="31" t="s">
        <v>162</v>
      </c>
      <c r="C231" s="16" t="s">
        <v>12</v>
      </c>
      <c r="D231" s="17">
        <v>4464</v>
      </c>
      <c r="E231" s="28">
        <v>121</v>
      </c>
      <c r="F231" s="18">
        <f t="shared" si="35"/>
        <v>9.2200000000000006</v>
      </c>
      <c r="G231" s="19">
        <f t="shared" si="38"/>
        <v>3.73</v>
      </c>
      <c r="H231" s="13">
        <f t="shared" si="37"/>
        <v>9.2200000000000006</v>
      </c>
    </row>
    <row r="232" spans="1:8" s="13" customFormat="1" ht="15.95" customHeight="1">
      <c r="A232" s="27">
        <v>168</v>
      </c>
      <c r="B232" s="31" t="s">
        <v>165</v>
      </c>
      <c r="C232" s="16" t="s">
        <v>160</v>
      </c>
      <c r="D232" s="17">
        <v>6410.8</v>
      </c>
      <c r="E232" s="28">
        <v>257</v>
      </c>
      <c r="F232" s="18">
        <f t="shared" si="35"/>
        <v>6.24</v>
      </c>
      <c r="G232" s="19">
        <f>ROUND(705.6/E232,2)</f>
        <v>2.75</v>
      </c>
      <c r="H232" s="13">
        <f>ROUND(1602.69/E232,2)</f>
        <v>6.24</v>
      </c>
    </row>
    <row r="233" spans="1:8" s="13" customFormat="1" ht="15.95" customHeight="1">
      <c r="A233" s="27">
        <v>169</v>
      </c>
      <c r="B233" s="31" t="s">
        <v>166</v>
      </c>
      <c r="C233" s="16" t="s">
        <v>12</v>
      </c>
      <c r="D233" s="17">
        <v>4464</v>
      </c>
      <c r="E233" s="28">
        <v>114</v>
      </c>
      <c r="F233" s="18">
        <f t="shared" si="35"/>
        <v>9.7899999999999991</v>
      </c>
      <c r="G233" s="19">
        <f>ROUND(451.2/E233,2)</f>
        <v>3.96</v>
      </c>
      <c r="H233" s="13">
        <f t="shared" si="37"/>
        <v>9.7899999999999991</v>
      </c>
    </row>
    <row r="234" spans="1:8" s="13" customFormat="1" ht="15.95" customHeight="1">
      <c r="A234" s="27">
        <v>170</v>
      </c>
      <c r="B234" s="31" t="s">
        <v>167</v>
      </c>
      <c r="C234" s="30" t="s">
        <v>168</v>
      </c>
      <c r="D234" s="17">
        <v>4038.8</v>
      </c>
      <c r="E234" s="28">
        <v>144</v>
      </c>
      <c r="F234" s="18">
        <f t="shared" si="35"/>
        <v>7.01</v>
      </c>
      <c r="G234" s="19">
        <f>ROUND(469.47/E234,2)</f>
        <v>3.26</v>
      </c>
      <c r="H234" s="13">
        <f>ROUND(1009.71/E234,2)</f>
        <v>7.01</v>
      </c>
    </row>
    <row r="235" spans="1:8" s="13" customFormat="1" ht="15.95" customHeight="1">
      <c r="A235" s="27">
        <v>171</v>
      </c>
      <c r="B235" s="15" t="s">
        <v>169</v>
      </c>
      <c r="C235" s="44" t="s">
        <v>170</v>
      </c>
      <c r="D235" s="17">
        <v>3590</v>
      </c>
      <c r="E235" s="28">
        <v>32</v>
      </c>
      <c r="F235" s="18">
        <f t="shared" si="35"/>
        <v>28.05</v>
      </c>
      <c r="G235" s="26">
        <f>ROUND(469.47/E235,2)</f>
        <v>14.67</v>
      </c>
      <c r="H235" s="13">
        <f>ROUND(897.51/E235,2)</f>
        <v>28.05</v>
      </c>
    </row>
    <row r="236" spans="1:8" s="13" customFormat="1" ht="15.95" customHeight="1">
      <c r="A236" s="27">
        <v>172</v>
      </c>
      <c r="B236" s="31" t="s">
        <v>171</v>
      </c>
      <c r="C236" s="16" t="s">
        <v>120</v>
      </c>
      <c r="D236" s="17">
        <v>4464</v>
      </c>
      <c r="E236" s="28">
        <v>101</v>
      </c>
      <c r="F236" s="18">
        <f t="shared" si="35"/>
        <v>11.05</v>
      </c>
      <c r="G236" s="19">
        <f>ROUND(451.2/E236,2)</f>
        <v>4.47</v>
      </c>
      <c r="H236" s="13">
        <f t="shared" si="37"/>
        <v>11.05</v>
      </c>
    </row>
    <row r="237" spans="1:8" s="13" customFormat="1" ht="15.95" customHeight="1">
      <c r="A237" s="27">
        <v>173</v>
      </c>
      <c r="B237" s="31" t="s">
        <v>172</v>
      </c>
      <c r="C237" s="21" t="s">
        <v>12</v>
      </c>
      <c r="D237" s="17">
        <v>4464</v>
      </c>
      <c r="E237" s="28">
        <v>96</v>
      </c>
      <c r="F237" s="18">
        <f t="shared" si="35"/>
        <v>11.63</v>
      </c>
      <c r="G237" s="19">
        <f>ROUND(451.2/E237,2)</f>
        <v>4.7</v>
      </c>
      <c r="H237" s="13">
        <f t="shared" si="37"/>
        <v>11.63</v>
      </c>
    </row>
    <row r="238" spans="1:8" s="13" customFormat="1" ht="5.45" customHeight="1">
      <c r="A238" s="90">
        <v>174</v>
      </c>
      <c r="B238" s="92" t="s">
        <v>851</v>
      </c>
      <c r="C238" s="20" t="s">
        <v>24</v>
      </c>
      <c r="D238" s="69">
        <f>3590*3</f>
        <v>10770</v>
      </c>
      <c r="E238" s="71">
        <f>35+36+35</f>
        <v>106</v>
      </c>
      <c r="F238" s="73">
        <f t="shared" si="35"/>
        <v>25.4</v>
      </c>
      <c r="G238" s="76">
        <f>ROUND(441.63*3/E238,2)</f>
        <v>12.5</v>
      </c>
      <c r="H238" s="67">
        <f>ROUND(897.51*3/E238,2)</f>
        <v>25.4</v>
      </c>
    </row>
    <row r="239" spans="1:8" s="13" customFormat="1" ht="5.45" customHeight="1">
      <c r="A239" s="94"/>
      <c r="B239" s="98"/>
      <c r="C239" s="22" t="s">
        <v>49</v>
      </c>
      <c r="D239" s="77" t="e">
        <f>#REF!+#REF!</f>
        <v>#REF!</v>
      </c>
      <c r="E239" s="85"/>
      <c r="F239" s="81" t="e">
        <f t="shared" si="35"/>
        <v>#REF!</v>
      </c>
      <c r="G239" s="76" t="e">
        <f t="shared" si="36"/>
        <v>#DIV/0!</v>
      </c>
      <c r="H239" s="67"/>
    </row>
    <row r="240" spans="1:8" s="13" customFormat="1" ht="5.45" customHeight="1">
      <c r="A240" s="91"/>
      <c r="B240" s="93"/>
      <c r="C240" s="23" t="s">
        <v>49</v>
      </c>
      <c r="D240" s="70" t="e">
        <f>#REF!+#REF!</f>
        <v>#REF!</v>
      </c>
      <c r="E240" s="72"/>
      <c r="F240" s="74" t="e">
        <f t="shared" si="35"/>
        <v>#REF!</v>
      </c>
      <c r="G240" s="76" t="e">
        <f t="shared" si="36"/>
        <v>#DIV/0!</v>
      </c>
      <c r="H240" s="67"/>
    </row>
    <row r="241" spans="1:8" s="13" customFormat="1" ht="15.95" customHeight="1">
      <c r="A241" s="27">
        <v>175</v>
      </c>
      <c r="B241" s="31" t="s">
        <v>173</v>
      </c>
      <c r="C241" s="16" t="s">
        <v>24</v>
      </c>
      <c r="D241" s="17">
        <v>3590</v>
      </c>
      <c r="E241" s="28">
        <v>116</v>
      </c>
      <c r="F241" s="18">
        <f t="shared" si="35"/>
        <v>7.74</v>
      </c>
      <c r="G241" s="19">
        <f>ROUND(441.63/E241,2)</f>
        <v>3.81</v>
      </c>
      <c r="H241" s="13">
        <f>ROUND(897.51/E241,2)</f>
        <v>7.74</v>
      </c>
    </row>
    <row r="242" spans="1:8" s="13" customFormat="1" ht="15.95" customHeight="1">
      <c r="A242" s="27">
        <v>176</v>
      </c>
      <c r="B242" s="31" t="s">
        <v>175</v>
      </c>
      <c r="C242" s="16" t="s">
        <v>16</v>
      </c>
      <c r="D242" s="17">
        <v>4038.8</v>
      </c>
      <c r="E242" s="28">
        <v>100</v>
      </c>
      <c r="F242" s="18">
        <f t="shared" si="35"/>
        <v>10.1</v>
      </c>
      <c r="G242" s="19">
        <f>ROUND(441.63/E242,2)</f>
        <v>4.42</v>
      </c>
      <c r="H242" s="13">
        <f>ROUND(1009.71/E242,2)</f>
        <v>10.1</v>
      </c>
    </row>
    <row r="243" spans="1:8" s="13" customFormat="1" ht="8.1" customHeight="1">
      <c r="A243" s="90">
        <v>177</v>
      </c>
      <c r="B243" s="92" t="s">
        <v>849</v>
      </c>
      <c r="C243" s="20" t="s">
        <v>15</v>
      </c>
      <c r="D243" s="82">
        <f>3590*2</f>
        <v>7180</v>
      </c>
      <c r="E243" s="71">
        <f>20+29</f>
        <v>49</v>
      </c>
      <c r="F243" s="73">
        <f t="shared" si="35"/>
        <v>36.630000000000003</v>
      </c>
      <c r="G243" s="76">
        <f>ROUND(441.63*2/E243,2)</f>
        <v>18.03</v>
      </c>
      <c r="H243" s="67">
        <f>ROUND(897.51*2/E243,2)</f>
        <v>36.630000000000003</v>
      </c>
    </row>
    <row r="244" spans="1:8" s="13" customFormat="1" ht="8.1" customHeight="1">
      <c r="A244" s="91"/>
      <c r="B244" s="93"/>
      <c r="C244" s="23" t="s">
        <v>49</v>
      </c>
      <c r="D244" s="84" t="e">
        <f>#REF!+#REF!</f>
        <v>#REF!</v>
      </c>
      <c r="E244" s="72"/>
      <c r="F244" s="74" t="e">
        <f t="shared" si="35"/>
        <v>#REF!</v>
      </c>
      <c r="G244" s="76" t="e">
        <f t="shared" si="36"/>
        <v>#DIV/0!</v>
      </c>
      <c r="H244" s="67"/>
    </row>
    <row r="245" spans="1:8" s="13" customFormat="1" ht="15.95" customHeight="1">
      <c r="A245" s="27">
        <v>178</v>
      </c>
      <c r="B245" s="31" t="s">
        <v>174</v>
      </c>
      <c r="C245" s="20" t="s">
        <v>60</v>
      </c>
      <c r="D245" s="17">
        <v>4464</v>
      </c>
      <c r="E245" s="28">
        <v>100</v>
      </c>
      <c r="F245" s="18">
        <f t="shared" si="35"/>
        <v>11.16</v>
      </c>
      <c r="G245" s="19">
        <f>ROUND(451.2/E245,2)</f>
        <v>4.51</v>
      </c>
      <c r="H245" s="13">
        <f t="shared" si="37"/>
        <v>11.16</v>
      </c>
    </row>
    <row r="246" spans="1:8" s="13" customFormat="1" ht="15.95" customHeight="1">
      <c r="A246" s="27">
        <v>179</v>
      </c>
      <c r="B246" s="31" t="s">
        <v>176</v>
      </c>
      <c r="C246" s="16" t="s">
        <v>16</v>
      </c>
      <c r="D246" s="17">
        <v>4038.8</v>
      </c>
      <c r="E246" s="28">
        <v>73</v>
      </c>
      <c r="F246" s="18">
        <f t="shared" si="35"/>
        <v>13.83</v>
      </c>
      <c r="G246" s="19">
        <f>ROUND(441.63/E246,2)</f>
        <v>6.05</v>
      </c>
      <c r="H246" s="45">
        <f>ROUND(1009.71/E246,2)</f>
        <v>13.83</v>
      </c>
    </row>
    <row r="247" spans="1:8" s="13" customFormat="1" ht="15.95" customHeight="1">
      <c r="A247" s="27">
        <v>180</v>
      </c>
      <c r="B247" s="31" t="s">
        <v>850</v>
      </c>
      <c r="C247" s="21" t="s">
        <v>12</v>
      </c>
      <c r="D247" s="17">
        <v>4464</v>
      </c>
      <c r="E247" s="28">
        <v>73</v>
      </c>
      <c r="F247" s="18">
        <f t="shared" si="35"/>
        <v>15.29</v>
      </c>
      <c r="G247" s="19">
        <f>ROUND(451.2/E247,2)</f>
        <v>6.18</v>
      </c>
      <c r="H247" s="45">
        <f t="shared" si="37"/>
        <v>15.29</v>
      </c>
    </row>
    <row r="248" spans="1:8" s="13" customFormat="1" ht="15.95" customHeight="1">
      <c r="A248" s="27">
        <v>181</v>
      </c>
      <c r="B248" s="31" t="s">
        <v>177</v>
      </c>
      <c r="C248" s="20" t="s">
        <v>14</v>
      </c>
      <c r="D248" s="17">
        <v>4038.8</v>
      </c>
      <c r="E248" s="28">
        <v>72</v>
      </c>
      <c r="F248" s="18">
        <f t="shared" si="35"/>
        <v>14.02</v>
      </c>
      <c r="G248" s="19">
        <f>ROUND(441.63/E248,2)</f>
        <v>6.13</v>
      </c>
      <c r="H248" s="45">
        <f>ROUND(1009.71/E248,2)</f>
        <v>14.02</v>
      </c>
    </row>
    <row r="249" spans="1:8" s="13" customFormat="1" ht="15.95" customHeight="1">
      <c r="A249" s="27">
        <v>182</v>
      </c>
      <c r="B249" s="31" t="s">
        <v>178</v>
      </c>
      <c r="C249" s="16" t="s">
        <v>16</v>
      </c>
      <c r="D249" s="17">
        <v>4038.8</v>
      </c>
      <c r="E249" s="28">
        <v>101</v>
      </c>
      <c r="F249" s="18">
        <f t="shared" si="35"/>
        <v>10</v>
      </c>
      <c r="G249" s="19">
        <f>ROUND(441.63/E249,2)</f>
        <v>4.37</v>
      </c>
      <c r="H249" s="45">
        <f>ROUND(1009.71/E249,2)</f>
        <v>10</v>
      </c>
    </row>
    <row r="250" spans="1:8" s="13" customFormat="1" ht="8.1" customHeight="1">
      <c r="A250" s="90">
        <v>183</v>
      </c>
      <c r="B250" s="92" t="s">
        <v>771</v>
      </c>
      <c r="C250" s="20" t="s">
        <v>15</v>
      </c>
      <c r="D250" s="82">
        <f>3590*2</f>
        <v>7180</v>
      </c>
      <c r="E250" s="71">
        <f>57+66</f>
        <v>123</v>
      </c>
      <c r="F250" s="73">
        <f t="shared" si="35"/>
        <v>14.59</v>
      </c>
      <c r="G250" s="76">
        <f>ROUND(441.63*2/E250,2)</f>
        <v>7.18</v>
      </c>
      <c r="H250" s="65">
        <f>ROUND(897.51*2/E250,2)</f>
        <v>14.59</v>
      </c>
    </row>
    <row r="251" spans="1:8" s="13" customFormat="1" ht="8.1" customHeight="1">
      <c r="A251" s="91"/>
      <c r="B251" s="93"/>
      <c r="C251" s="23" t="s">
        <v>49</v>
      </c>
      <c r="D251" s="84" t="e">
        <f>#REF!+#REF!</f>
        <v>#REF!</v>
      </c>
      <c r="E251" s="72"/>
      <c r="F251" s="74" t="e">
        <f t="shared" si="35"/>
        <v>#REF!</v>
      </c>
      <c r="G251" s="76" t="e">
        <f t="shared" si="36"/>
        <v>#DIV/0!</v>
      </c>
      <c r="H251" s="65"/>
    </row>
    <row r="252" spans="1:8" s="13" customFormat="1" ht="15.95" customHeight="1">
      <c r="A252" s="27">
        <v>184</v>
      </c>
      <c r="B252" s="31" t="s">
        <v>179</v>
      </c>
      <c r="C252" s="30" t="s">
        <v>180</v>
      </c>
      <c r="D252" s="17">
        <v>4464</v>
      </c>
      <c r="E252" s="28">
        <v>127</v>
      </c>
      <c r="F252" s="18">
        <f t="shared" si="35"/>
        <v>8.7899999999999991</v>
      </c>
      <c r="G252" s="26">
        <f>ROUND(482.49/E252,2)</f>
        <v>3.8</v>
      </c>
      <c r="H252" s="45">
        <f t="shared" si="37"/>
        <v>8.7899999999999991</v>
      </c>
    </row>
    <row r="253" spans="1:8" s="13" customFormat="1" ht="15.95" customHeight="1">
      <c r="A253" s="27">
        <v>185</v>
      </c>
      <c r="B253" s="31" t="s">
        <v>181</v>
      </c>
      <c r="C253" s="16" t="s">
        <v>16</v>
      </c>
      <c r="D253" s="17">
        <v>4038.8</v>
      </c>
      <c r="E253" s="28">
        <v>30</v>
      </c>
      <c r="F253" s="18">
        <f t="shared" si="35"/>
        <v>33.659999999999997</v>
      </c>
      <c r="G253" s="19">
        <f>ROUND(441.63/E253,2)</f>
        <v>14.72</v>
      </c>
      <c r="H253" s="45">
        <f>ROUND(1009.71/E253,2)</f>
        <v>33.659999999999997</v>
      </c>
    </row>
    <row r="254" spans="1:8" s="13" customFormat="1" ht="15.95" customHeight="1">
      <c r="A254" s="27">
        <v>186</v>
      </c>
      <c r="B254" s="31" t="s">
        <v>182</v>
      </c>
      <c r="C254" s="16" t="s">
        <v>49</v>
      </c>
      <c r="D254" s="17">
        <v>3590</v>
      </c>
      <c r="E254" s="28">
        <v>30</v>
      </c>
      <c r="F254" s="18">
        <f t="shared" si="35"/>
        <v>29.92</v>
      </c>
      <c r="G254" s="19">
        <f>ROUND(441.63/E254,2)</f>
        <v>14.72</v>
      </c>
      <c r="H254" s="45">
        <f>ROUND(897.51/E254,2)</f>
        <v>29.92</v>
      </c>
    </row>
    <row r="255" spans="1:8" s="13" customFormat="1" ht="8.1" customHeight="1">
      <c r="A255" s="90">
        <v>187</v>
      </c>
      <c r="B255" s="92" t="s">
        <v>772</v>
      </c>
      <c r="C255" s="20" t="s">
        <v>24</v>
      </c>
      <c r="D255" s="82">
        <f>3590+4464</f>
        <v>8054</v>
      </c>
      <c r="E255" s="71">
        <f>42+141</f>
        <v>183</v>
      </c>
      <c r="F255" s="73">
        <f t="shared" si="35"/>
        <v>11</v>
      </c>
      <c r="G255" s="76">
        <f>ROUND((441.63+482.49)/E255,2)</f>
        <v>5.05</v>
      </c>
      <c r="H255" s="65">
        <f>ROUND((897.51+1116)/E255,2)</f>
        <v>11</v>
      </c>
    </row>
    <row r="256" spans="1:8" s="13" customFormat="1" ht="8.1" customHeight="1">
      <c r="A256" s="91"/>
      <c r="B256" s="93"/>
      <c r="C256" s="23" t="s">
        <v>183</v>
      </c>
      <c r="D256" s="84" t="e">
        <f>#REF!+#REF!</f>
        <v>#REF!</v>
      </c>
      <c r="E256" s="72"/>
      <c r="F256" s="74" t="e">
        <f t="shared" si="35"/>
        <v>#REF!</v>
      </c>
      <c r="G256" s="76" t="e">
        <f t="shared" si="36"/>
        <v>#DIV/0!</v>
      </c>
      <c r="H256" s="65"/>
    </row>
    <row r="257" spans="1:8" s="13" customFormat="1" ht="15.95" customHeight="1">
      <c r="A257" s="27">
        <v>188</v>
      </c>
      <c r="B257" s="31" t="s">
        <v>184</v>
      </c>
      <c r="C257" s="16" t="s">
        <v>49</v>
      </c>
      <c r="D257" s="17">
        <v>3590</v>
      </c>
      <c r="E257" s="28">
        <v>72</v>
      </c>
      <c r="F257" s="18">
        <f t="shared" si="35"/>
        <v>12.47</v>
      </c>
      <c r="G257" s="19">
        <f>ROUND(441.63/E257,2)</f>
        <v>6.13</v>
      </c>
      <c r="H257" s="45">
        <f>ROUND(897.51/E257,2)</f>
        <v>12.47</v>
      </c>
    </row>
    <row r="258" spans="1:8" s="13" customFormat="1" ht="5.45" customHeight="1">
      <c r="A258" s="90">
        <v>189</v>
      </c>
      <c r="B258" s="92" t="s">
        <v>773</v>
      </c>
      <c r="C258" s="20" t="s">
        <v>24</v>
      </c>
      <c r="D258" s="69">
        <f>3590*3</f>
        <v>10770</v>
      </c>
      <c r="E258" s="71">
        <f>35*2+36</f>
        <v>106</v>
      </c>
      <c r="F258" s="73">
        <f t="shared" si="35"/>
        <v>25.4</v>
      </c>
      <c r="G258" s="76">
        <f>ROUND(441.63*3/E258,2)</f>
        <v>12.5</v>
      </c>
      <c r="H258" s="65">
        <f>ROUND(897.51*3/E258,2)</f>
        <v>25.4</v>
      </c>
    </row>
    <row r="259" spans="1:8" s="13" customFormat="1" ht="5.45" customHeight="1">
      <c r="A259" s="94"/>
      <c r="B259" s="98"/>
      <c r="C259" s="22" t="s">
        <v>24</v>
      </c>
      <c r="D259" s="77" t="e">
        <f>#REF!+#REF!</f>
        <v>#REF!</v>
      </c>
      <c r="E259" s="85"/>
      <c r="F259" s="81" t="e">
        <f t="shared" si="35"/>
        <v>#REF!</v>
      </c>
      <c r="G259" s="76" t="e">
        <f t="shared" si="36"/>
        <v>#DIV/0!</v>
      </c>
      <c r="H259" s="65"/>
    </row>
    <row r="260" spans="1:8" s="13" customFormat="1" ht="5.45" customHeight="1">
      <c r="A260" s="91"/>
      <c r="B260" s="93"/>
      <c r="C260" s="40" t="s">
        <v>24</v>
      </c>
      <c r="D260" s="70" t="e">
        <f>#REF!+#REF!</f>
        <v>#REF!</v>
      </c>
      <c r="E260" s="72"/>
      <c r="F260" s="74" t="e">
        <f t="shared" si="35"/>
        <v>#REF!</v>
      </c>
      <c r="G260" s="76" t="e">
        <f t="shared" si="36"/>
        <v>#DIV/0!</v>
      </c>
      <c r="H260" s="65"/>
    </row>
    <row r="261" spans="1:8" s="13" customFormat="1" ht="15.95" customHeight="1">
      <c r="A261" s="27">
        <v>190</v>
      </c>
      <c r="B261" s="31" t="s">
        <v>185</v>
      </c>
      <c r="C261" s="16" t="s">
        <v>183</v>
      </c>
      <c r="D261" s="17">
        <v>4464</v>
      </c>
      <c r="E261" s="28">
        <v>110</v>
      </c>
      <c r="F261" s="18">
        <f t="shared" si="35"/>
        <v>10.15</v>
      </c>
      <c r="G261" s="19">
        <f>ROUND(482.49/E261,2)</f>
        <v>4.3899999999999997</v>
      </c>
      <c r="H261" s="45">
        <f t="shared" si="37"/>
        <v>10.15</v>
      </c>
    </row>
    <row r="262" spans="1:8" s="13" customFormat="1" ht="15.95" customHeight="1">
      <c r="A262" s="27">
        <v>191</v>
      </c>
      <c r="B262" s="31" t="s">
        <v>186</v>
      </c>
      <c r="C262" s="20" t="s">
        <v>60</v>
      </c>
      <c r="D262" s="17">
        <v>4464</v>
      </c>
      <c r="E262" s="28">
        <v>119</v>
      </c>
      <c r="F262" s="18">
        <f t="shared" si="35"/>
        <v>9.3800000000000008</v>
      </c>
      <c r="G262" s="19">
        <f t="shared" ref="G262:G263" si="39">ROUND(451.2/E262,2)</f>
        <v>3.79</v>
      </c>
      <c r="H262" s="45">
        <f t="shared" si="37"/>
        <v>9.3800000000000008</v>
      </c>
    </row>
    <row r="263" spans="1:8" s="13" customFormat="1" ht="15.95" customHeight="1">
      <c r="A263" s="27">
        <v>192</v>
      </c>
      <c r="B263" s="31" t="s">
        <v>187</v>
      </c>
      <c r="C263" s="16" t="s">
        <v>60</v>
      </c>
      <c r="D263" s="17">
        <v>4464</v>
      </c>
      <c r="E263" s="28">
        <v>163</v>
      </c>
      <c r="F263" s="18">
        <f t="shared" si="35"/>
        <v>6.85</v>
      </c>
      <c r="G263" s="19">
        <f t="shared" si="39"/>
        <v>2.77</v>
      </c>
      <c r="H263" s="45">
        <f t="shared" si="37"/>
        <v>6.85</v>
      </c>
    </row>
    <row r="264" spans="1:8" s="13" customFormat="1" ht="15.95" customHeight="1">
      <c r="A264" s="27">
        <v>193</v>
      </c>
      <c r="B264" s="31" t="s">
        <v>188</v>
      </c>
      <c r="C264" s="16" t="s">
        <v>12</v>
      </c>
      <c r="D264" s="17">
        <v>4464</v>
      </c>
      <c r="E264" s="28">
        <v>110</v>
      </c>
      <c r="F264" s="18">
        <f t="shared" si="35"/>
        <v>10.15</v>
      </c>
      <c r="G264" s="19">
        <f>ROUND(451.2/E264,2)</f>
        <v>4.0999999999999996</v>
      </c>
      <c r="H264" s="45">
        <f t="shared" si="37"/>
        <v>10.15</v>
      </c>
    </row>
    <row r="265" spans="1:8" s="13" customFormat="1" ht="15.75" customHeight="1">
      <c r="A265" s="27">
        <v>194</v>
      </c>
      <c r="B265" s="31" t="s">
        <v>189</v>
      </c>
      <c r="C265" s="46" t="s">
        <v>16</v>
      </c>
      <c r="D265" s="17">
        <v>4038.8</v>
      </c>
      <c r="E265" s="28">
        <v>71</v>
      </c>
      <c r="F265" s="18">
        <f t="shared" si="35"/>
        <v>14.22</v>
      </c>
      <c r="G265" s="19">
        <f>ROUND(441.63/E265,2)</f>
        <v>6.22</v>
      </c>
      <c r="H265" s="45">
        <f>ROUND(1009.71/E265,2)</f>
        <v>14.22</v>
      </c>
    </row>
    <row r="266" spans="1:8" s="13" customFormat="1" ht="3.95" customHeight="1">
      <c r="A266" s="90">
        <v>195</v>
      </c>
      <c r="B266" s="92" t="s">
        <v>774</v>
      </c>
      <c r="C266" s="20" t="s">
        <v>60</v>
      </c>
      <c r="D266" s="82">
        <f>3590*2+4038.8+4464</f>
        <v>15682.8</v>
      </c>
      <c r="E266" s="71">
        <f>41+83+69+38</f>
        <v>231</v>
      </c>
      <c r="F266" s="86">
        <f t="shared" si="35"/>
        <v>16.97</v>
      </c>
      <c r="G266" s="76">
        <f>ROUND((441.63*2+451.2+469.47)/E266,2)</f>
        <v>7.81</v>
      </c>
      <c r="H266" s="65">
        <f>ROUND((897.51*2+1009.71+1116)/E266,2)</f>
        <v>16.97</v>
      </c>
    </row>
    <row r="267" spans="1:8" s="13" customFormat="1" ht="3.95" customHeight="1">
      <c r="A267" s="94"/>
      <c r="B267" s="98"/>
      <c r="C267" s="22" t="s">
        <v>16</v>
      </c>
      <c r="D267" s="83" t="e">
        <f>#REF!+#REF!</f>
        <v>#REF!</v>
      </c>
      <c r="E267" s="85"/>
      <c r="F267" s="87" t="e">
        <f t="shared" si="35"/>
        <v>#REF!</v>
      </c>
      <c r="G267" s="76" t="e">
        <f t="shared" si="36"/>
        <v>#DIV/0!</v>
      </c>
      <c r="H267" s="65"/>
    </row>
    <row r="268" spans="1:8" s="13" customFormat="1" ht="3.95" customHeight="1">
      <c r="A268" s="94"/>
      <c r="B268" s="98"/>
      <c r="C268" s="47" t="s">
        <v>27</v>
      </c>
      <c r="D268" s="83" t="e">
        <f>#REF!+#REF!</f>
        <v>#REF!</v>
      </c>
      <c r="E268" s="85"/>
      <c r="F268" s="87" t="e">
        <f t="shared" si="35"/>
        <v>#REF!</v>
      </c>
      <c r="G268" s="76" t="e">
        <f t="shared" si="36"/>
        <v>#DIV/0!</v>
      </c>
      <c r="H268" s="65"/>
    </row>
    <row r="269" spans="1:8" s="13" customFormat="1" ht="3.95" customHeight="1">
      <c r="A269" s="91"/>
      <c r="B269" s="93"/>
      <c r="C269" s="23" t="s">
        <v>24</v>
      </c>
      <c r="D269" s="84" t="e">
        <f>#REF!+#REF!</f>
        <v>#REF!</v>
      </c>
      <c r="E269" s="72"/>
      <c r="F269" s="88" t="e">
        <f t="shared" ref="F269:F332" si="40">ROUND(D269/E269/4,2)</f>
        <v>#REF!</v>
      </c>
      <c r="G269" s="76" t="e">
        <f t="shared" ref="G269:G303" si="41">ROUND(512.79/E269,2)</f>
        <v>#DIV/0!</v>
      </c>
      <c r="H269" s="65"/>
    </row>
    <row r="270" spans="1:8" s="13" customFormat="1" ht="15.95" customHeight="1">
      <c r="A270" s="27">
        <v>196</v>
      </c>
      <c r="B270" s="31" t="s">
        <v>190</v>
      </c>
      <c r="C270" s="20" t="s">
        <v>14</v>
      </c>
      <c r="D270" s="17">
        <v>4038.8</v>
      </c>
      <c r="E270" s="28">
        <v>121</v>
      </c>
      <c r="F270" s="18">
        <f t="shared" si="40"/>
        <v>8.34</v>
      </c>
      <c r="G270" s="19">
        <f>ROUND(441.63/E270,2)</f>
        <v>3.65</v>
      </c>
      <c r="H270" s="45">
        <f t="shared" ref="H270:H327" si="42">ROUND(1009.71/E270,2)</f>
        <v>8.34</v>
      </c>
    </row>
    <row r="271" spans="1:8" s="13" customFormat="1" ht="15.95" customHeight="1">
      <c r="A271" s="27">
        <v>197</v>
      </c>
      <c r="B271" s="31" t="s">
        <v>191</v>
      </c>
      <c r="C271" s="20" t="s">
        <v>192</v>
      </c>
      <c r="D271" s="17">
        <v>4464</v>
      </c>
      <c r="E271" s="28">
        <v>83</v>
      </c>
      <c r="F271" s="18">
        <f t="shared" si="40"/>
        <v>13.45</v>
      </c>
      <c r="G271" s="19">
        <f>ROUND(482.49/E271,2)</f>
        <v>5.81</v>
      </c>
      <c r="H271" s="45">
        <f>ROUND(1116/E271,2)</f>
        <v>13.45</v>
      </c>
    </row>
    <row r="272" spans="1:8" s="13" customFormat="1" ht="1.5" customHeight="1">
      <c r="A272" s="90">
        <v>198</v>
      </c>
      <c r="B272" s="95" t="s">
        <v>775</v>
      </c>
      <c r="C272" s="20" t="s">
        <v>49</v>
      </c>
      <c r="D272" s="82">
        <f>3590*9+6410.8+4038.8</f>
        <v>42759.600000000006</v>
      </c>
      <c r="E272" s="71">
        <f>36+36+34+36+35+35+35+36+35</f>
        <v>318</v>
      </c>
      <c r="F272" s="86">
        <f t="shared" si="40"/>
        <v>33.619999999999997</v>
      </c>
      <c r="G272" s="104">
        <f>ROUND((441.63*10+705.6)/E272,2)</f>
        <v>16.11</v>
      </c>
      <c r="H272" s="65">
        <f>ROUND((897.51*9+1009.71+1602.69)/E272,2)</f>
        <v>33.619999999999997</v>
      </c>
    </row>
    <row r="273" spans="1:8" s="13" customFormat="1" ht="1.5" customHeight="1">
      <c r="A273" s="94"/>
      <c r="B273" s="96"/>
      <c r="C273" s="22" t="s">
        <v>49</v>
      </c>
      <c r="D273" s="83" t="e">
        <f>#REF!+#REF!</f>
        <v>#REF!</v>
      </c>
      <c r="E273" s="85"/>
      <c r="F273" s="87" t="e">
        <f t="shared" si="40"/>
        <v>#REF!</v>
      </c>
      <c r="G273" s="104" t="e">
        <f t="shared" si="41"/>
        <v>#DIV/0!</v>
      </c>
      <c r="H273" s="65"/>
    </row>
    <row r="274" spans="1:8" s="13" customFormat="1" ht="1.5" customHeight="1">
      <c r="A274" s="94"/>
      <c r="B274" s="96"/>
      <c r="C274" s="22" t="s">
        <v>49</v>
      </c>
      <c r="D274" s="83" t="e">
        <f>#REF!+#REF!</f>
        <v>#REF!</v>
      </c>
      <c r="E274" s="85"/>
      <c r="F274" s="87" t="e">
        <f t="shared" si="40"/>
        <v>#REF!</v>
      </c>
      <c r="G274" s="104" t="e">
        <f t="shared" si="41"/>
        <v>#DIV/0!</v>
      </c>
      <c r="H274" s="65"/>
    </row>
    <row r="275" spans="1:8" s="13" customFormat="1" ht="1.5" customHeight="1">
      <c r="A275" s="94"/>
      <c r="B275" s="96"/>
      <c r="C275" s="22" t="s">
        <v>49</v>
      </c>
      <c r="D275" s="83" t="e">
        <f>#REF!+#REF!</f>
        <v>#REF!</v>
      </c>
      <c r="E275" s="85"/>
      <c r="F275" s="87" t="e">
        <f t="shared" si="40"/>
        <v>#REF!</v>
      </c>
      <c r="G275" s="104" t="e">
        <f t="shared" si="41"/>
        <v>#DIV/0!</v>
      </c>
      <c r="H275" s="65"/>
    </row>
    <row r="276" spans="1:8" s="13" customFormat="1" ht="1.5" customHeight="1">
      <c r="A276" s="94"/>
      <c r="B276" s="96"/>
      <c r="C276" s="22" t="s">
        <v>49</v>
      </c>
      <c r="D276" s="83" t="e">
        <f>#REF!+#REF!</f>
        <v>#REF!</v>
      </c>
      <c r="E276" s="85"/>
      <c r="F276" s="87" t="e">
        <f t="shared" si="40"/>
        <v>#REF!</v>
      </c>
      <c r="G276" s="104" t="e">
        <f t="shared" si="41"/>
        <v>#DIV/0!</v>
      </c>
      <c r="H276" s="65"/>
    </row>
    <row r="277" spans="1:8" s="13" customFormat="1" ht="1.5" customHeight="1">
      <c r="A277" s="94"/>
      <c r="B277" s="96"/>
      <c r="C277" s="22" t="s">
        <v>49</v>
      </c>
      <c r="D277" s="83" t="e">
        <f>#REF!+#REF!</f>
        <v>#REF!</v>
      </c>
      <c r="E277" s="85"/>
      <c r="F277" s="87" t="e">
        <f t="shared" si="40"/>
        <v>#REF!</v>
      </c>
      <c r="G277" s="104" t="e">
        <f t="shared" si="41"/>
        <v>#DIV/0!</v>
      </c>
      <c r="H277" s="65"/>
    </row>
    <row r="278" spans="1:8" s="13" customFormat="1" ht="1.5" customHeight="1">
      <c r="A278" s="94"/>
      <c r="B278" s="96"/>
      <c r="C278" s="22" t="s">
        <v>49</v>
      </c>
      <c r="D278" s="83" t="e">
        <f>#REF!+#REF!</f>
        <v>#REF!</v>
      </c>
      <c r="E278" s="85"/>
      <c r="F278" s="87" t="e">
        <f t="shared" si="40"/>
        <v>#REF!</v>
      </c>
      <c r="G278" s="104" t="e">
        <f t="shared" si="41"/>
        <v>#DIV/0!</v>
      </c>
      <c r="H278" s="65"/>
    </row>
    <row r="279" spans="1:8" s="13" customFormat="1" ht="1.5" customHeight="1">
      <c r="A279" s="94"/>
      <c r="B279" s="96"/>
      <c r="C279" s="22" t="s">
        <v>49</v>
      </c>
      <c r="D279" s="83" t="e">
        <f>#REF!+#REF!</f>
        <v>#REF!</v>
      </c>
      <c r="E279" s="85"/>
      <c r="F279" s="87" t="e">
        <f t="shared" si="40"/>
        <v>#REF!</v>
      </c>
      <c r="G279" s="104" t="e">
        <f t="shared" si="41"/>
        <v>#DIV/0!</v>
      </c>
      <c r="H279" s="65"/>
    </row>
    <row r="280" spans="1:8" s="13" customFormat="1" ht="1.5" customHeight="1">
      <c r="A280" s="94"/>
      <c r="B280" s="96"/>
      <c r="C280" s="22" t="s">
        <v>49</v>
      </c>
      <c r="D280" s="83" t="e">
        <f>#REF!+#REF!</f>
        <v>#REF!</v>
      </c>
      <c r="E280" s="85"/>
      <c r="F280" s="87" t="e">
        <f t="shared" si="40"/>
        <v>#REF!</v>
      </c>
      <c r="G280" s="104" t="e">
        <f t="shared" si="41"/>
        <v>#DIV/0!</v>
      </c>
      <c r="H280" s="65"/>
    </row>
    <row r="281" spans="1:8" s="13" customFormat="1" ht="1.5" customHeight="1">
      <c r="A281" s="94"/>
      <c r="B281" s="96"/>
      <c r="C281" s="22" t="s">
        <v>156</v>
      </c>
      <c r="D281" s="83" t="e">
        <f>#REF!+#REF!</f>
        <v>#REF!</v>
      </c>
      <c r="E281" s="85"/>
      <c r="F281" s="87" t="e">
        <f t="shared" si="40"/>
        <v>#REF!</v>
      </c>
      <c r="G281" s="104" t="e">
        <f t="shared" si="41"/>
        <v>#DIV/0!</v>
      </c>
      <c r="H281" s="65"/>
    </row>
    <row r="282" spans="1:8" s="13" customFormat="1" ht="1.5" customHeight="1">
      <c r="A282" s="91"/>
      <c r="B282" s="97"/>
      <c r="C282" s="23" t="s">
        <v>14</v>
      </c>
      <c r="D282" s="84" t="e">
        <f>#REF!+#REF!</f>
        <v>#REF!</v>
      </c>
      <c r="E282" s="72"/>
      <c r="F282" s="88" t="e">
        <f t="shared" si="40"/>
        <v>#REF!</v>
      </c>
      <c r="G282" s="104" t="e">
        <f t="shared" si="41"/>
        <v>#DIV/0!</v>
      </c>
      <c r="H282" s="65"/>
    </row>
    <row r="283" spans="1:8" s="13" customFormat="1" ht="15.95" customHeight="1">
      <c r="A283" s="27">
        <v>199</v>
      </c>
      <c r="B283" s="31" t="s">
        <v>193</v>
      </c>
      <c r="C283" s="16" t="s">
        <v>6</v>
      </c>
      <c r="D283" s="17">
        <v>4851.6000000000004</v>
      </c>
      <c r="E283" s="28">
        <v>179</v>
      </c>
      <c r="F283" s="18">
        <f t="shared" si="40"/>
        <v>6.78</v>
      </c>
      <c r="G283" s="19">
        <f>ROUND(452.88/E283,2)</f>
        <v>2.5299999999999998</v>
      </c>
      <c r="H283" s="45">
        <f>ROUND(1212.9/E283,2)</f>
        <v>6.78</v>
      </c>
    </row>
    <row r="284" spans="1:8" s="13" customFormat="1" ht="15.95" customHeight="1">
      <c r="A284" s="27">
        <v>200</v>
      </c>
      <c r="B284" s="31" t="s">
        <v>194</v>
      </c>
      <c r="C284" s="16" t="s">
        <v>12</v>
      </c>
      <c r="D284" s="17">
        <v>4464</v>
      </c>
      <c r="E284" s="28">
        <v>109</v>
      </c>
      <c r="F284" s="18">
        <f t="shared" si="40"/>
        <v>10.24</v>
      </c>
      <c r="G284" s="19">
        <f>ROUND(451.2/E284,2)</f>
        <v>4.1399999999999997</v>
      </c>
      <c r="H284" s="45">
        <f>ROUND(1116/E284,2)</f>
        <v>10.24</v>
      </c>
    </row>
    <row r="285" spans="1:8" s="13" customFormat="1" ht="5.45" customHeight="1">
      <c r="A285" s="90">
        <v>201</v>
      </c>
      <c r="B285" s="92" t="s">
        <v>776</v>
      </c>
      <c r="C285" s="20" t="s">
        <v>15</v>
      </c>
      <c r="D285" s="69">
        <f>3590*3</f>
        <v>10770</v>
      </c>
      <c r="E285" s="71">
        <f>45+36.34</f>
        <v>81.34</v>
      </c>
      <c r="F285" s="73">
        <f t="shared" si="40"/>
        <v>33.1</v>
      </c>
      <c r="G285" s="76">
        <f>ROUND(441.63*3/E285,2)</f>
        <v>16.29</v>
      </c>
      <c r="H285" s="65">
        <f>ROUND(897.51*3/E285,2)</f>
        <v>33.1</v>
      </c>
    </row>
    <row r="286" spans="1:8" s="13" customFormat="1" ht="5.45" customHeight="1">
      <c r="A286" s="94"/>
      <c r="B286" s="98"/>
      <c r="C286" s="22" t="s">
        <v>49</v>
      </c>
      <c r="D286" s="77" t="e">
        <f>#REF!+#REF!</f>
        <v>#REF!</v>
      </c>
      <c r="E286" s="85"/>
      <c r="F286" s="81" t="e">
        <f t="shared" si="40"/>
        <v>#REF!</v>
      </c>
      <c r="G286" s="76" t="e">
        <f t="shared" si="41"/>
        <v>#DIV/0!</v>
      </c>
      <c r="H286" s="65"/>
    </row>
    <row r="287" spans="1:8" s="13" customFormat="1" ht="5.45" customHeight="1">
      <c r="A287" s="91"/>
      <c r="B287" s="93"/>
      <c r="C287" s="40" t="s">
        <v>49</v>
      </c>
      <c r="D287" s="70" t="e">
        <f>#REF!+#REF!</f>
        <v>#REF!</v>
      </c>
      <c r="E287" s="72"/>
      <c r="F287" s="74" t="e">
        <f t="shared" si="40"/>
        <v>#REF!</v>
      </c>
      <c r="G287" s="76" t="e">
        <f t="shared" si="41"/>
        <v>#DIV/0!</v>
      </c>
      <c r="H287" s="65"/>
    </row>
    <row r="288" spans="1:8" s="13" customFormat="1" ht="15.95" customHeight="1">
      <c r="A288" s="27">
        <v>202</v>
      </c>
      <c r="B288" s="31" t="s">
        <v>195</v>
      </c>
      <c r="C288" s="16" t="s">
        <v>16</v>
      </c>
      <c r="D288" s="17">
        <v>4038.8</v>
      </c>
      <c r="E288" s="28">
        <v>73</v>
      </c>
      <c r="F288" s="18">
        <f t="shared" si="40"/>
        <v>13.83</v>
      </c>
      <c r="G288" s="19">
        <f>ROUND(441.63/E288,2)</f>
        <v>6.05</v>
      </c>
      <c r="H288" s="45">
        <f t="shared" si="42"/>
        <v>13.83</v>
      </c>
    </row>
    <row r="289" spans="1:8" s="13" customFormat="1" ht="2.65" customHeight="1">
      <c r="A289" s="90">
        <v>203</v>
      </c>
      <c r="B289" s="95" t="s">
        <v>777</v>
      </c>
      <c r="C289" s="20" t="s">
        <v>15</v>
      </c>
      <c r="D289" s="69">
        <f>3590*5+4851.6</f>
        <v>22801.599999999999</v>
      </c>
      <c r="E289" s="78">
        <f>36+35+36+36+36</f>
        <v>179</v>
      </c>
      <c r="F289" s="73">
        <f t="shared" si="40"/>
        <v>31.85</v>
      </c>
      <c r="G289" s="76">
        <f>ROUND((441.63*5+452.88)/E289,2)</f>
        <v>14.87</v>
      </c>
      <c r="H289" s="65">
        <f>ROUND((897.51*5+1212.9)/E289,2)</f>
        <v>31.85</v>
      </c>
    </row>
    <row r="290" spans="1:8" s="13" customFormat="1" ht="2.65" customHeight="1">
      <c r="A290" s="94"/>
      <c r="B290" s="96"/>
      <c r="C290" s="22" t="s">
        <v>49</v>
      </c>
      <c r="D290" s="77" t="e">
        <f>#REF!+#REF!</f>
        <v>#REF!</v>
      </c>
      <c r="E290" s="79"/>
      <c r="F290" s="81" t="e">
        <f t="shared" si="40"/>
        <v>#REF!</v>
      </c>
      <c r="G290" s="76" t="e">
        <f t="shared" si="41"/>
        <v>#DIV/0!</v>
      </c>
      <c r="H290" s="65"/>
    </row>
    <row r="291" spans="1:8" s="13" customFormat="1" ht="2.65" customHeight="1">
      <c r="A291" s="94"/>
      <c r="B291" s="96"/>
      <c r="C291" s="22" t="s">
        <v>49</v>
      </c>
      <c r="D291" s="77" t="e">
        <f>#REF!+#REF!</f>
        <v>#REF!</v>
      </c>
      <c r="E291" s="79"/>
      <c r="F291" s="81" t="e">
        <f t="shared" si="40"/>
        <v>#REF!</v>
      </c>
      <c r="G291" s="76" t="e">
        <f t="shared" si="41"/>
        <v>#DIV/0!</v>
      </c>
      <c r="H291" s="65"/>
    </row>
    <row r="292" spans="1:8" s="13" customFormat="1" ht="2.65" customHeight="1">
      <c r="A292" s="94"/>
      <c r="B292" s="96"/>
      <c r="C292" s="22" t="s">
        <v>49</v>
      </c>
      <c r="D292" s="77" t="e">
        <f>#REF!+#REF!</f>
        <v>#REF!</v>
      </c>
      <c r="E292" s="79"/>
      <c r="F292" s="81" t="e">
        <f t="shared" si="40"/>
        <v>#REF!</v>
      </c>
      <c r="G292" s="76" t="e">
        <f t="shared" si="41"/>
        <v>#DIV/0!</v>
      </c>
      <c r="H292" s="65"/>
    </row>
    <row r="293" spans="1:8" s="13" customFormat="1" ht="2.65" customHeight="1">
      <c r="A293" s="94"/>
      <c r="B293" s="96"/>
      <c r="C293" s="22" t="s">
        <v>49</v>
      </c>
      <c r="D293" s="77" t="e">
        <f>#REF!+#REF!</f>
        <v>#REF!</v>
      </c>
      <c r="E293" s="79"/>
      <c r="F293" s="81" t="e">
        <f t="shared" si="40"/>
        <v>#REF!</v>
      </c>
      <c r="G293" s="76" t="e">
        <f t="shared" si="41"/>
        <v>#DIV/0!</v>
      </c>
      <c r="H293" s="65"/>
    </row>
    <row r="294" spans="1:8" s="13" customFormat="1" ht="2.65" customHeight="1">
      <c r="A294" s="91"/>
      <c r="B294" s="97"/>
      <c r="C294" s="23" t="s">
        <v>142</v>
      </c>
      <c r="D294" s="70" t="e">
        <f>#REF!+#REF!</f>
        <v>#REF!</v>
      </c>
      <c r="E294" s="80"/>
      <c r="F294" s="74" t="e">
        <f t="shared" si="40"/>
        <v>#REF!</v>
      </c>
      <c r="G294" s="76" t="e">
        <f t="shared" si="41"/>
        <v>#DIV/0!</v>
      </c>
      <c r="H294" s="65"/>
    </row>
    <row r="295" spans="1:8" s="13" customFormat="1" ht="3.95" customHeight="1">
      <c r="A295" s="90">
        <v>204</v>
      </c>
      <c r="B295" s="95" t="s">
        <v>778</v>
      </c>
      <c r="C295" s="22" t="s">
        <v>49</v>
      </c>
      <c r="D295" s="82">
        <f>3590*3+4464</f>
        <v>15234</v>
      </c>
      <c r="E295" s="71">
        <f>33+32+32</f>
        <v>97</v>
      </c>
      <c r="F295" s="86">
        <f t="shared" si="40"/>
        <v>39.26</v>
      </c>
      <c r="G295" s="76">
        <f>ROUND((441.63*3+451.2)/E295,2)</f>
        <v>18.309999999999999</v>
      </c>
      <c r="H295" s="65">
        <f>ROUND((897.51*3+1116)/E295,2)</f>
        <v>39.26</v>
      </c>
    </row>
    <row r="296" spans="1:8" s="13" customFormat="1" ht="3.95" customHeight="1">
      <c r="A296" s="94"/>
      <c r="B296" s="96"/>
      <c r="C296" s="22" t="s">
        <v>49</v>
      </c>
      <c r="D296" s="83" t="e">
        <f>#REF!+#REF!</f>
        <v>#REF!</v>
      </c>
      <c r="E296" s="85"/>
      <c r="F296" s="87" t="e">
        <f t="shared" si="40"/>
        <v>#REF!</v>
      </c>
      <c r="G296" s="76" t="e">
        <f t="shared" si="41"/>
        <v>#DIV/0!</v>
      </c>
      <c r="H296" s="65"/>
    </row>
    <row r="297" spans="1:8" s="13" customFormat="1" ht="3.95" customHeight="1">
      <c r="A297" s="94"/>
      <c r="B297" s="96"/>
      <c r="C297" s="22" t="s">
        <v>49</v>
      </c>
      <c r="D297" s="83" t="e">
        <f>#REF!+#REF!</f>
        <v>#REF!</v>
      </c>
      <c r="E297" s="85"/>
      <c r="F297" s="87" t="e">
        <f t="shared" si="40"/>
        <v>#REF!</v>
      </c>
      <c r="G297" s="76" t="e">
        <f t="shared" si="41"/>
        <v>#DIV/0!</v>
      </c>
      <c r="H297" s="65"/>
    </row>
    <row r="298" spans="1:8" s="13" customFormat="1" ht="3.95" customHeight="1">
      <c r="A298" s="91"/>
      <c r="B298" s="97"/>
      <c r="C298" s="22" t="s">
        <v>12</v>
      </c>
      <c r="D298" s="84" t="e">
        <f>#REF!+#REF!</f>
        <v>#REF!</v>
      </c>
      <c r="E298" s="72"/>
      <c r="F298" s="88" t="e">
        <f t="shared" si="40"/>
        <v>#REF!</v>
      </c>
      <c r="G298" s="76" t="e">
        <f t="shared" si="41"/>
        <v>#DIV/0!</v>
      </c>
      <c r="H298" s="65"/>
    </row>
    <row r="299" spans="1:8" s="13" customFormat="1" ht="15.95" customHeight="1">
      <c r="A299" s="27">
        <v>205</v>
      </c>
      <c r="B299" s="31" t="s">
        <v>196</v>
      </c>
      <c r="C299" s="20" t="s">
        <v>120</v>
      </c>
      <c r="D299" s="17">
        <v>4464</v>
      </c>
      <c r="E299" s="28">
        <v>101</v>
      </c>
      <c r="F299" s="18">
        <f t="shared" si="40"/>
        <v>11.05</v>
      </c>
      <c r="G299" s="19">
        <f>ROUND(451.2/E299,2)</f>
        <v>4.47</v>
      </c>
      <c r="H299" s="45">
        <f>ROUND(1116/E299,2)</f>
        <v>11.05</v>
      </c>
    </row>
    <row r="300" spans="1:8" s="13" customFormat="1" ht="15.95" customHeight="1">
      <c r="A300" s="27">
        <v>206</v>
      </c>
      <c r="B300" s="31" t="s">
        <v>197</v>
      </c>
      <c r="C300" s="16" t="s">
        <v>12</v>
      </c>
      <c r="D300" s="17">
        <v>4464</v>
      </c>
      <c r="E300" s="28">
        <v>79</v>
      </c>
      <c r="F300" s="18">
        <f t="shared" si="40"/>
        <v>14.13</v>
      </c>
      <c r="G300" s="19">
        <f>ROUND(451.2/E300,2)</f>
        <v>5.71</v>
      </c>
      <c r="H300" s="45">
        <f>ROUND(1116/E300,2)</f>
        <v>14.13</v>
      </c>
    </row>
    <row r="301" spans="1:8" s="13" customFormat="1" ht="15.75" customHeight="1">
      <c r="A301" s="27">
        <v>207</v>
      </c>
      <c r="B301" s="31" t="s">
        <v>198</v>
      </c>
      <c r="C301" s="47" t="s">
        <v>180</v>
      </c>
      <c r="D301" s="17">
        <v>4464</v>
      </c>
      <c r="E301" s="28">
        <v>155</v>
      </c>
      <c r="F301" s="18">
        <f t="shared" si="40"/>
        <v>7.2</v>
      </c>
      <c r="G301" s="26">
        <f>ROUND(482.49/E301,2)</f>
        <v>3.11</v>
      </c>
      <c r="H301" s="45">
        <f>ROUND(1116/E301,2)</f>
        <v>7.2</v>
      </c>
    </row>
    <row r="302" spans="1:8" s="13" customFormat="1" ht="8.1" customHeight="1">
      <c r="A302" s="90">
        <v>208</v>
      </c>
      <c r="B302" s="92" t="s">
        <v>779</v>
      </c>
      <c r="C302" s="20" t="s">
        <v>101</v>
      </c>
      <c r="D302" s="82">
        <f>4038.8+3590</f>
        <v>7628.8</v>
      </c>
      <c r="E302" s="71">
        <f>30+28</f>
        <v>58</v>
      </c>
      <c r="F302" s="73">
        <f t="shared" si="40"/>
        <v>32.880000000000003</v>
      </c>
      <c r="G302" s="76">
        <f>ROUND(441.63*2/E302,2)</f>
        <v>15.23</v>
      </c>
      <c r="H302" s="65">
        <f>ROUND((897.51+1009.71)/E302,2)</f>
        <v>32.880000000000003</v>
      </c>
    </row>
    <row r="303" spans="1:8" s="13" customFormat="1" ht="8.1" customHeight="1">
      <c r="A303" s="91"/>
      <c r="B303" s="93"/>
      <c r="C303" s="23" t="s">
        <v>49</v>
      </c>
      <c r="D303" s="84" t="e">
        <f>#REF!+#REF!</f>
        <v>#REF!</v>
      </c>
      <c r="E303" s="72"/>
      <c r="F303" s="74" t="e">
        <f t="shared" si="40"/>
        <v>#REF!</v>
      </c>
      <c r="G303" s="76" t="e">
        <f t="shared" si="41"/>
        <v>#DIV/0!</v>
      </c>
      <c r="H303" s="65"/>
    </row>
    <row r="304" spans="1:8" s="13" customFormat="1" ht="15.95" customHeight="1">
      <c r="A304" s="27">
        <v>209</v>
      </c>
      <c r="B304" s="31" t="s">
        <v>199</v>
      </c>
      <c r="C304" s="16" t="s">
        <v>12</v>
      </c>
      <c r="D304" s="17">
        <v>4464</v>
      </c>
      <c r="E304" s="28">
        <v>113</v>
      </c>
      <c r="F304" s="18">
        <f t="shared" si="40"/>
        <v>9.8800000000000008</v>
      </c>
      <c r="G304" s="19">
        <f>ROUND(451.2/E304,2)</f>
        <v>3.99</v>
      </c>
      <c r="H304" s="45">
        <f>ROUND(1116/E304,2)</f>
        <v>9.8800000000000008</v>
      </c>
    </row>
    <row r="305" spans="1:8" s="13" customFormat="1" ht="15.95" customHeight="1">
      <c r="A305" s="27">
        <v>210</v>
      </c>
      <c r="B305" s="31" t="s">
        <v>200</v>
      </c>
      <c r="C305" s="30" t="s">
        <v>203</v>
      </c>
      <c r="D305" s="17">
        <v>4038.8</v>
      </c>
      <c r="E305" s="28">
        <v>92</v>
      </c>
      <c r="F305" s="18">
        <f t="shared" si="40"/>
        <v>10.98</v>
      </c>
      <c r="G305" s="19">
        <f>ROUND(469.47/E305,2)</f>
        <v>5.0999999999999996</v>
      </c>
      <c r="H305" s="45">
        <f t="shared" si="42"/>
        <v>10.98</v>
      </c>
    </row>
    <row r="306" spans="1:8" s="13" customFormat="1" ht="15.95" customHeight="1">
      <c r="A306" s="27">
        <v>211</v>
      </c>
      <c r="B306" s="31" t="s">
        <v>202</v>
      </c>
      <c r="C306" s="47" t="s">
        <v>204</v>
      </c>
      <c r="D306" s="17">
        <v>3590</v>
      </c>
      <c r="E306" s="28">
        <v>44</v>
      </c>
      <c r="F306" s="18">
        <f t="shared" si="40"/>
        <v>20.399999999999999</v>
      </c>
      <c r="G306" s="19">
        <f>ROUND(469.47/E306,2)</f>
        <v>10.67</v>
      </c>
      <c r="H306" s="45">
        <f>ROUND(897.51/E306,2)</f>
        <v>20.399999999999999</v>
      </c>
    </row>
    <row r="307" spans="1:8" s="13" customFormat="1" ht="15.95" customHeight="1">
      <c r="A307" s="27">
        <v>212</v>
      </c>
      <c r="B307" s="31" t="s">
        <v>201</v>
      </c>
      <c r="C307" s="16" t="s">
        <v>205</v>
      </c>
      <c r="D307" s="17">
        <v>3590</v>
      </c>
      <c r="E307" s="28">
        <v>58</v>
      </c>
      <c r="F307" s="18">
        <f t="shared" si="40"/>
        <v>15.47</v>
      </c>
      <c r="G307" s="19">
        <f>ROUND(469.47/E307,2)</f>
        <v>8.09</v>
      </c>
      <c r="H307" s="45">
        <f>ROUND(897.51/E307,2)</f>
        <v>15.47</v>
      </c>
    </row>
    <row r="308" spans="1:8" s="13" customFormat="1" ht="15.95" customHeight="1">
      <c r="A308" s="27">
        <v>213</v>
      </c>
      <c r="B308" s="31" t="s">
        <v>206</v>
      </c>
      <c r="C308" s="16" t="s">
        <v>16</v>
      </c>
      <c r="D308" s="17">
        <v>4038.8</v>
      </c>
      <c r="E308" s="28">
        <v>77</v>
      </c>
      <c r="F308" s="18">
        <f t="shared" si="40"/>
        <v>13.11</v>
      </c>
      <c r="G308" s="19">
        <f>ROUND(441.63/E308,2)</f>
        <v>5.74</v>
      </c>
      <c r="H308" s="45">
        <f t="shared" si="42"/>
        <v>13.11</v>
      </c>
    </row>
    <row r="309" spans="1:8" s="13" customFormat="1" ht="15.95" customHeight="1">
      <c r="A309" s="27">
        <v>214</v>
      </c>
      <c r="B309" s="31" t="s">
        <v>207</v>
      </c>
      <c r="C309" s="16" t="s">
        <v>16</v>
      </c>
      <c r="D309" s="17">
        <v>4038.8</v>
      </c>
      <c r="E309" s="28">
        <v>78</v>
      </c>
      <c r="F309" s="18">
        <f t="shared" si="40"/>
        <v>12.94</v>
      </c>
      <c r="G309" s="19">
        <f>ROUND(441.63/E309,2)</f>
        <v>5.66</v>
      </c>
      <c r="H309" s="45">
        <f t="shared" si="42"/>
        <v>12.95</v>
      </c>
    </row>
    <row r="310" spans="1:8" s="13" customFormat="1" ht="15.95" customHeight="1">
      <c r="A310" s="27">
        <v>215</v>
      </c>
      <c r="B310" s="31" t="s">
        <v>208</v>
      </c>
      <c r="C310" s="46" t="s">
        <v>12</v>
      </c>
      <c r="D310" s="17">
        <v>4464</v>
      </c>
      <c r="E310" s="28">
        <v>111</v>
      </c>
      <c r="F310" s="18">
        <f t="shared" si="40"/>
        <v>10.050000000000001</v>
      </c>
      <c r="G310" s="19">
        <f>ROUND(451.2/E310,2)</f>
        <v>4.0599999999999996</v>
      </c>
      <c r="H310" s="45">
        <f>ROUND(1116/E310,2)</f>
        <v>10.050000000000001</v>
      </c>
    </row>
    <row r="311" spans="1:8" s="13" customFormat="1" ht="15.95" customHeight="1">
      <c r="A311" s="27">
        <v>216</v>
      </c>
      <c r="B311" s="31" t="s">
        <v>209</v>
      </c>
      <c r="C311" s="16" t="s">
        <v>16</v>
      </c>
      <c r="D311" s="17">
        <v>4038.8</v>
      </c>
      <c r="E311" s="28">
        <v>77</v>
      </c>
      <c r="F311" s="18">
        <f t="shared" si="40"/>
        <v>13.11</v>
      </c>
      <c r="G311" s="19">
        <f t="shared" ref="G311:G312" si="43">ROUND(441.63/E311,2)</f>
        <v>5.74</v>
      </c>
      <c r="H311" s="45">
        <f t="shared" si="42"/>
        <v>13.11</v>
      </c>
    </row>
    <row r="312" spans="1:8" s="13" customFormat="1" ht="15.95" customHeight="1">
      <c r="A312" s="27">
        <v>217</v>
      </c>
      <c r="B312" s="31" t="s">
        <v>210</v>
      </c>
      <c r="C312" s="16" t="s">
        <v>16</v>
      </c>
      <c r="D312" s="17">
        <v>4038.8</v>
      </c>
      <c r="E312" s="28">
        <v>74</v>
      </c>
      <c r="F312" s="18">
        <f t="shared" si="40"/>
        <v>13.64</v>
      </c>
      <c r="G312" s="19">
        <f t="shared" si="43"/>
        <v>5.97</v>
      </c>
      <c r="H312" s="45">
        <f t="shared" si="42"/>
        <v>13.64</v>
      </c>
    </row>
    <row r="313" spans="1:8" s="13" customFormat="1" ht="15.95" customHeight="1">
      <c r="A313" s="27">
        <v>218</v>
      </c>
      <c r="B313" s="31" t="s">
        <v>211</v>
      </c>
      <c r="C313" s="20" t="s">
        <v>212</v>
      </c>
      <c r="D313" s="17">
        <v>4464</v>
      </c>
      <c r="E313" s="28">
        <v>143</v>
      </c>
      <c r="F313" s="18">
        <f t="shared" si="40"/>
        <v>7.8</v>
      </c>
      <c r="G313" s="19">
        <f>ROUND(451.2/E313,2)</f>
        <v>3.16</v>
      </c>
      <c r="H313" s="45">
        <f>ROUND(1116/E313,2)</f>
        <v>7.8</v>
      </c>
    </row>
    <row r="314" spans="1:8" s="13" customFormat="1" ht="15.95" customHeight="1">
      <c r="A314" s="27">
        <v>219</v>
      </c>
      <c r="B314" s="31" t="s">
        <v>213</v>
      </c>
      <c r="C314" s="16" t="s">
        <v>16</v>
      </c>
      <c r="D314" s="17">
        <v>4038.8</v>
      </c>
      <c r="E314" s="28">
        <v>60</v>
      </c>
      <c r="F314" s="18">
        <f t="shared" si="40"/>
        <v>16.829999999999998</v>
      </c>
      <c r="G314" s="19">
        <f t="shared" ref="G314:G316" si="44">ROUND(441.63/E314,2)</f>
        <v>7.36</v>
      </c>
      <c r="H314" s="45">
        <f t="shared" si="42"/>
        <v>16.829999999999998</v>
      </c>
    </row>
    <row r="315" spans="1:8" s="13" customFormat="1" ht="15.95" customHeight="1">
      <c r="A315" s="27">
        <v>220</v>
      </c>
      <c r="B315" s="31" t="s">
        <v>214</v>
      </c>
      <c r="C315" s="16" t="s">
        <v>16</v>
      </c>
      <c r="D315" s="17">
        <v>4038.8</v>
      </c>
      <c r="E315" s="28">
        <v>104</v>
      </c>
      <c r="F315" s="18">
        <f t="shared" si="40"/>
        <v>9.7100000000000009</v>
      </c>
      <c r="G315" s="19">
        <f t="shared" si="44"/>
        <v>4.25</v>
      </c>
      <c r="H315" s="45">
        <f t="shared" si="42"/>
        <v>9.7100000000000009</v>
      </c>
    </row>
    <row r="316" spans="1:8" s="13" customFormat="1" ht="15.95" customHeight="1">
      <c r="A316" s="27">
        <v>221</v>
      </c>
      <c r="B316" s="31" t="s">
        <v>215</v>
      </c>
      <c r="C316" s="16" t="s">
        <v>16</v>
      </c>
      <c r="D316" s="17">
        <v>4038.8</v>
      </c>
      <c r="E316" s="28">
        <v>70</v>
      </c>
      <c r="F316" s="18">
        <f t="shared" si="40"/>
        <v>14.42</v>
      </c>
      <c r="G316" s="19">
        <f t="shared" si="44"/>
        <v>6.31</v>
      </c>
      <c r="H316" s="45">
        <f t="shared" si="42"/>
        <v>14.42</v>
      </c>
    </row>
    <row r="317" spans="1:8" s="13" customFormat="1" ht="15.95" customHeight="1">
      <c r="A317" s="27">
        <v>222</v>
      </c>
      <c r="B317" s="31" t="s">
        <v>216</v>
      </c>
      <c r="C317" s="20" t="s">
        <v>217</v>
      </c>
      <c r="D317" s="17">
        <v>4038.8</v>
      </c>
      <c r="E317" s="28">
        <v>33</v>
      </c>
      <c r="F317" s="18">
        <f t="shared" si="40"/>
        <v>30.6</v>
      </c>
      <c r="G317" s="19">
        <f>ROUND(469.47/E317,2)</f>
        <v>14.23</v>
      </c>
      <c r="H317" s="45">
        <f t="shared" si="42"/>
        <v>30.6</v>
      </c>
    </row>
    <row r="318" spans="1:8" s="13" customFormat="1" ht="15.95" customHeight="1">
      <c r="A318" s="27">
        <v>223</v>
      </c>
      <c r="B318" s="31" t="s">
        <v>218</v>
      </c>
      <c r="C318" s="16" t="s">
        <v>60</v>
      </c>
      <c r="D318" s="17">
        <v>4464</v>
      </c>
      <c r="E318" s="28">
        <v>76</v>
      </c>
      <c r="F318" s="18">
        <f t="shared" si="40"/>
        <v>14.68</v>
      </c>
      <c r="G318" s="19">
        <f>ROUND(451.2/E318,2)</f>
        <v>5.94</v>
      </c>
      <c r="H318" s="45">
        <f>ROUND(1116/E318,2)</f>
        <v>14.68</v>
      </c>
    </row>
    <row r="319" spans="1:8" s="13" customFormat="1" ht="15.95" customHeight="1">
      <c r="A319" s="27">
        <v>224</v>
      </c>
      <c r="B319" s="31" t="s">
        <v>219</v>
      </c>
      <c r="C319" s="38" t="s">
        <v>24</v>
      </c>
      <c r="D319" s="17">
        <v>3590</v>
      </c>
      <c r="E319" s="28">
        <v>13</v>
      </c>
      <c r="F319" s="18">
        <f t="shared" si="40"/>
        <v>69.040000000000006</v>
      </c>
      <c r="G319" s="19">
        <f>ROUND(441.63/E319,2)</f>
        <v>33.97</v>
      </c>
      <c r="H319" s="45">
        <f>ROUND(897.51/E319,2)</f>
        <v>69.040000000000006</v>
      </c>
    </row>
    <row r="320" spans="1:8" s="13" customFormat="1" ht="15.95" customHeight="1">
      <c r="A320" s="27">
        <v>225</v>
      </c>
      <c r="B320" s="31" t="s">
        <v>220</v>
      </c>
      <c r="C320" s="23" t="s">
        <v>18</v>
      </c>
      <c r="D320" s="17">
        <v>2702.6</v>
      </c>
      <c r="E320" s="28">
        <v>10</v>
      </c>
      <c r="F320" s="18">
        <f t="shared" si="40"/>
        <v>67.569999999999993</v>
      </c>
      <c r="G320" s="19">
        <f t="shared" ref="G320:G325" si="45">ROUND(441.63/E320,2)</f>
        <v>44.16</v>
      </c>
      <c r="H320" s="45">
        <f>ROUND(675.66/E320,2)</f>
        <v>67.569999999999993</v>
      </c>
    </row>
    <row r="321" spans="1:8" s="13" customFormat="1" ht="15.95" customHeight="1">
      <c r="A321" s="27">
        <v>226</v>
      </c>
      <c r="B321" s="31" t="s">
        <v>221</v>
      </c>
      <c r="C321" s="23" t="s">
        <v>18</v>
      </c>
      <c r="D321" s="17">
        <v>2702.6</v>
      </c>
      <c r="E321" s="28">
        <v>11</v>
      </c>
      <c r="F321" s="18">
        <f t="shared" si="40"/>
        <v>61.42</v>
      </c>
      <c r="G321" s="19">
        <f t="shared" si="45"/>
        <v>40.15</v>
      </c>
      <c r="H321" s="45">
        <f t="shared" ref="H321:H322" si="46">ROUND(675.66/E321,2)</f>
        <v>61.42</v>
      </c>
    </row>
    <row r="322" spans="1:8" s="13" customFormat="1" ht="15.95" customHeight="1">
      <c r="A322" s="27">
        <v>227</v>
      </c>
      <c r="B322" s="31" t="s">
        <v>222</v>
      </c>
      <c r="C322" s="23" t="s">
        <v>18</v>
      </c>
      <c r="D322" s="17">
        <v>2702.6</v>
      </c>
      <c r="E322" s="28">
        <v>4</v>
      </c>
      <c r="F322" s="18">
        <f t="shared" si="40"/>
        <v>168.91</v>
      </c>
      <c r="G322" s="19">
        <f t="shared" si="45"/>
        <v>110.41</v>
      </c>
      <c r="H322" s="45">
        <f t="shared" si="46"/>
        <v>168.92</v>
      </c>
    </row>
    <row r="323" spans="1:8" s="13" customFormat="1" ht="15.95" customHeight="1">
      <c r="A323" s="27">
        <v>228</v>
      </c>
      <c r="B323" s="31" t="s">
        <v>223</v>
      </c>
      <c r="C323" s="23" t="s">
        <v>14</v>
      </c>
      <c r="D323" s="17">
        <v>4038.8</v>
      </c>
      <c r="E323" s="28">
        <v>37</v>
      </c>
      <c r="F323" s="18">
        <f t="shared" si="40"/>
        <v>27.29</v>
      </c>
      <c r="G323" s="19">
        <f t="shared" si="45"/>
        <v>11.94</v>
      </c>
      <c r="H323" s="45">
        <f t="shared" si="42"/>
        <v>27.29</v>
      </c>
    </row>
    <row r="324" spans="1:8" s="13" customFormat="1" ht="15.95" customHeight="1">
      <c r="A324" s="27">
        <v>229</v>
      </c>
      <c r="B324" s="31" t="s">
        <v>224</v>
      </c>
      <c r="C324" s="23" t="s">
        <v>24</v>
      </c>
      <c r="D324" s="17">
        <v>3590</v>
      </c>
      <c r="E324" s="28">
        <v>19</v>
      </c>
      <c r="F324" s="18">
        <f t="shared" si="40"/>
        <v>47.24</v>
      </c>
      <c r="G324" s="19">
        <f t="shared" si="45"/>
        <v>23.24</v>
      </c>
      <c r="H324" s="45">
        <f>ROUND(897.51/E324,2)</f>
        <v>47.24</v>
      </c>
    </row>
    <row r="325" spans="1:8" s="13" customFormat="1" ht="15.95" customHeight="1">
      <c r="A325" s="27">
        <v>230</v>
      </c>
      <c r="B325" s="31" t="s">
        <v>225</v>
      </c>
      <c r="C325" s="23" t="s">
        <v>24</v>
      </c>
      <c r="D325" s="17">
        <v>3590</v>
      </c>
      <c r="E325" s="28">
        <v>20</v>
      </c>
      <c r="F325" s="18">
        <f t="shared" si="40"/>
        <v>44.88</v>
      </c>
      <c r="G325" s="19">
        <f t="shared" si="45"/>
        <v>22.08</v>
      </c>
      <c r="H325" s="45">
        <f>ROUND(897.51/E325,2)</f>
        <v>44.88</v>
      </c>
    </row>
    <row r="326" spans="1:8" s="13" customFormat="1" ht="15.95" customHeight="1">
      <c r="A326" s="27">
        <v>231</v>
      </c>
      <c r="B326" s="31" t="s">
        <v>226</v>
      </c>
      <c r="C326" s="47" t="s">
        <v>229</v>
      </c>
      <c r="D326" s="17">
        <v>3590</v>
      </c>
      <c r="E326" s="28">
        <v>55</v>
      </c>
      <c r="F326" s="18">
        <f t="shared" si="40"/>
        <v>16.32</v>
      </c>
      <c r="G326" s="19">
        <f>ROUND(469.47/E326,2)</f>
        <v>8.5399999999999991</v>
      </c>
      <c r="H326" s="45">
        <f>ROUND(897.51/E326,2)</f>
        <v>16.32</v>
      </c>
    </row>
    <row r="327" spans="1:8" s="13" customFormat="1" ht="15.95" customHeight="1">
      <c r="A327" s="27">
        <v>232</v>
      </c>
      <c r="B327" s="31" t="s">
        <v>227</v>
      </c>
      <c r="C327" s="16" t="s">
        <v>228</v>
      </c>
      <c r="D327" s="17">
        <v>4038.8</v>
      </c>
      <c r="E327" s="28">
        <v>84</v>
      </c>
      <c r="F327" s="18">
        <f t="shared" si="40"/>
        <v>12.02</v>
      </c>
      <c r="G327" s="19">
        <f>ROUND(469.47/E327,2)</f>
        <v>5.59</v>
      </c>
      <c r="H327" s="45">
        <f t="shared" si="42"/>
        <v>12.02</v>
      </c>
    </row>
    <row r="328" spans="1:8" s="13" customFormat="1" ht="15.95" customHeight="1">
      <c r="A328" s="27">
        <v>233</v>
      </c>
      <c r="B328" s="31" t="s">
        <v>230</v>
      </c>
      <c r="C328" s="23" t="s">
        <v>142</v>
      </c>
      <c r="D328" s="17">
        <v>4851.6000000000004</v>
      </c>
      <c r="E328" s="28">
        <v>192</v>
      </c>
      <c r="F328" s="18">
        <f t="shared" si="40"/>
        <v>6.32</v>
      </c>
      <c r="G328" s="19">
        <f>ROUND(452.88/E328,2)</f>
        <v>2.36</v>
      </c>
      <c r="H328" s="45">
        <f>ROUND(1212.9/E328,2)</f>
        <v>6.32</v>
      </c>
    </row>
    <row r="329" spans="1:8" s="13" customFormat="1" ht="15.95" customHeight="1">
      <c r="A329" s="27">
        <v>234</v>
      </c>
      <c r="B329" s="31" t="s">
        <v>231</v>
      </c>
      <c r="C329" s="23" t="s">
        <v>18</v>
      </c>
      <c r="D329" s="17">
        <v>2702.6</v>
      </c>
      <c r="E329" s="27">
        <v>18</v>
      </c>
      <c r="F329" s="18">
        <f t="shared" si="40"/>
        <v>37.54</v>
      </c>
      <c r="G329" s="19">
        <f>ROUND(441.63/E329,2)</f>
        <v>24.54</v>
      </c>
      <c r="H329" s="45">
        <f t="shared" ref="H329" si="47">ROUND(675.66/E329,2)</f>
        <v>37.54</v>
      </c>
    </row>
    <row r="330" spans="1:8" s="13" customFormat="1" ht="15.95" customHeight="1">
      <c r="A330" s="27">
        <v>235</v>
      </c>
      <c r="B330" s="31" t="s">
        <v>232</v>
      </c>
      <c r="C330" s="23" t="s">
        <v>233</v>
      </c>
      <c r="D330" s="17">
        <v>2702.6</v>
      </c>
      <c r="E330" s="27">
        <v>33</v>
      </c>
      <c r="F330" s="18">
        <f t="shared" si="40"/>
        <v>20.47</v>
      </c>
      <c r="G330" s="48">
        <f>ROUND(467.97/E330,2)</f>
        <v>14.18</v>
      </c>
      <c r="H330" s="45">
        <f>ROUND(675.66/E330,2)</f>
        <v>20.47</v>
      </c>
    </row>
    <row r="331" spans="1:8" s="13" customFormat="1" ht="15.95" customHeight="1">
      <c r="A331" s="27">
        <v>236</v>
      </c>
      <c r="B331" s="31" t="s">
        <v>234</v>
      </c>
      <c r="C331" s="16" t="s">
        <v>16</v>
      </c>
      <c r="D331" s="17">
        <v>4038.8</v>
      </c>
      <c r="E331" s="27">
        <v>70</v>
      </c>
      <c r="F331" s="18">
        <f t="shared" si="40"/>
        <v>14.42</v>
      </c>
      <c r="G331" s="19">
        <f t="shared" ref="G331:G334" si="48">ROUND(441.63/E331,2)</f>
        <v>6.31</v>
      </c>
      <c r="H331" s="45">
        <f t="shared" ref="H331:H393" si="49">ROUND(1009.71/E331,2)</f>
        <v>14.42</v>
      </c>
    </row>
    <row r="332" spans="1:8" s="13" customFormat="1" ht="15.95" customHeight="1">
      <c r="A332" s="27">
        <v>237</v>
      </c>
      <c r="B332" s="31" t="s">
        <v>238</v>
      </c>
      <c r="C332" s="16" t="s">
        <v>49</v>
      </c>
      <c r="D332" s="17">
        <v>3590</v>
      </c>
      <c r="E332" s="27">
        <v>41</v>
      </c>
      <c r="F332" s="18">
        <f t="shared" si="40"/>
        <v>21.89</v>
      </c>
      <c r="G332" s="19">
        <f t="shared" si="48"/>
        <v>10.77</v>
      </c>
      <c r="H332" s="45">
        <f>ROUND(897.51/E332,2)</f>
        <v>21.89</v>
      </c>
    </row>
    <row r="333" spans="1:8" s="13" customFormat="1" ht="15.95" customHeight="1">
      <c r="A333" s="27">
        <v>238</v>
      </c>
      <c r="B333" s="31" t="s">
        <v>239</v>
      </c>
      <c r="C333" s="23" t="s">
        <v>14</v>
      </c>
      <c r="D333" s="17">
        <v>4038.8</v>
      </c>
      <c r="E333" s="27">
        <v>70</v>
      </c>
      <c r="F333" s="18">
        <f t="shared" ref="F333:F396" si="50">ROUND(D333/E333/4,2)</f>
        <v>14.42</v>
      </c>
      <c r="G333" s="19">
        <f>ROUND(441.63/E333,2)</f>
        <v>6.31</v>
      </c>
      <c r="H333" s="45">
        <f t="shared" si="49"/>
        <v>14.42</v>
      </c>
    </row>
    <row r="334" spans="1:8" s="13" customFormat="1" ht="15.95" customHeight="1">
      <c r="A334" s="27">
        <v>239</v>
      </c>
      <c r="B334" s="31" t="s">
        <v>235</v>
      </c>
      <c r="C334" s="16" t="s">
        <v>16</v>
      </c>
      <c r="D334" s="17">
        <v>4038.8</v>
      </c>
      <c r="E334" s="27">
        <v>72</v>
      </c>
      <c r="F334" s="18">
        <f t="shared" si="50"/>
        <v>14.02</v>
      </c>
      <c r="G334" s="19">
        <f t="shared" si="48"/>
        <v>6.13</v>
      </c>
      <c r="H334" s="45">
        <f t="shared" si="49"/>
        <v>14.02</v>
      </c>
    </row>
    <row r="335" spans="1:8" s="13" customFormat="1" ht="15.95" customHeight="1">
      <c r="A335" s="27">
        <v>240</v>
      </c>
      <c r="B335" s="31" t="s">
        <v>236</v>
      </c>
      <c r="C335" s="23" t="s">
        <v>18</v>
      </c>
      <c r="D335" s="17">
        <v>2702.6</v>
      </c>
      <c r="E335" s="27">
        <v>21</v>
      </c>
      <c r="F335" s="18">
        <f t="shared" si="50"/>
        <v>32.17</v>
      </c>
      <c r="G335" s="19">
        <f t="shared" ref="G335:G338" si="51">ROUND(441.63/E335,2)</f>
        <v>21.03</v>
      </c>
      <c r="H335" s="45">
        <f t="shared" ref="H335:H336" si="52">ROUND(675.66/E335,2)</f>
        <v>32.17</v>
      </c>
    </row>
    <row r="336" spans="1:8" s="13" customFormat="1" ht="15.95" customHeight="1">
      <c r="A336" s="27">
        <v>241</v>
      </c>
      <c r="B336" s="31" t="s">
        <v>237</v>
      </c>
      <c r="C336" s="23" t="s">
        <v>18</v>
      </c>
      <c r="D336" s="17">
        <v>2702.6</v>
      </c>
      <c r="E336" s="27">
        <v>9</v>
      </c>
      <c r="F336" s="18">
        <f t="shared" si="50"/>
        <v>75.069999999999993</v>
      </c>
      <c r="G336" s="19">
        <f t="shared" si="51"/>
        <v>49.07</v>
      </c>
      <c r="H336" s="45">
        <f t="shared" si="52"/>
        <v>75.069999999999993</v>
      </c>
    </row>
    <row r="337" spans="1:8" s="13" customFormat="1" ht="15.95" customHeight="1">
      <c r="A337" s="27">
        <v>242</v>
      </c>
      <c r="B337" s="31" t="s">
        <v>240</v>
      </c>
      <c r="C337" s="16" t="s">
        <v>49</v>
      </c>
      <c r="D337" s="17">
        <v>3590</v>
      </c>
      <c r="E337" s="27">
        <v>42</v>
      </c>
      <c r="F337" s="18">
        <f t="shared" si="50"/>
        <v>21.37</v>
      </c>
      <c r="G337" s="19">
        <f t="shared" si="51"/>
        <v>10.52</v>
      </c>
      <c r="H337" s="45">
        <f>ROUND(897.51/E337,2)</f>
        <v>21.37</v>
      </c>
    </row>
    <row r="338" spans="1:8" s="13" customFormat="1" ht="15.95" customHeight="1">
      <c r="A338" s="27">
        <v>243</v>
      </c>
      <c r="B338" s="31" t="s">
        <v>241</v>
      </c>
      <c r="C338" s="16" t="s">
        <v>49</v>
      </c>
      <c r="D338" s="17">
        <v>3590</v>
      </c>
      <c r="E338" s="27">
        <v>37</v>
      </c>
      <c r="F338" s="18">
        <f t="shared" si="50"/>
        <v>24.26</v>
      </c>
      <c r="G338" s="19">
        <f t="shared" si="51"/>
        <v>11.94</v>
      </c>
      <c r="H338" s="45">
        <f>ROUND(897.51/E338,2)</f>
        <v>24.26</v>
      </c>
    </row>
    <row r="339" spans="1:8" s="13" customFormat="1" ht="15.95" customHeight="1">
      <c r="A339" s="27">
        <v>244</v>
      </c>
      <c r="B339" s="31" t="s">
        <v>242</v>
      </c>
      <c r="C339" s="23" t="s">
        <v>14</v>
      </c>
      <c r="D339" s="17">
        <v>4038.8</v>
      </c>
      <c r="E339" s="27">
        <v>3</v>
      </c>
      <c r="F339" s="18">
        <f t="shared" si="50"/>
        <v>336.57</v>
      </c>
      <c r="G339" s="19">
        <f>ROUND(441.63/E339,2)</f>
        <v>147.21</v>
      </c>
      <c r="H339" s="45">
        <f t="shared" si="49"/>
        <v>336.57</v>
      </c>
    </row>
    <row r="340" spans="1:8" s="13" customFormat="1" ht="15.95" customHeight="1">
      <c r="A340" s="27">
        <v>245</v>
      </c>
      <c r="B340" s="31" t="s">
        <v>243</v>
      </c>
      <c r="C340" s="16" t="s">
        <v>16</v>
      </c>
      <c r="D340" s="17">
        <v>4038.8</v>
      </c>
      <c r="E340" s="27">
        <v>84</v>
      </c>
      <c r="F340" s="18">
        <f t="shared" si="50"/>
        <v>12.02</v>
      </c>
      <c r="G340" s="19">
        <f t="shared" ref="G340" si="53">ROUND(441.63/E340,2)</f>
        <v>5.26</v>
      </c>
      <c r="H340" s="45">
        <f t="shared" si="49"/>
        <v>12.02</v>
      </c>
    </row>
    <row r="341" spans="1:8" s="13" customFormat="1" ht="15.95" customHeight="1">
      <c r="A341" s="27">
        <v>246</v>
      </c>
      <c r="B341" s="31" t="s">
        <v>244</v>
      </c>
      <c r="C341" s="23" t="s">
        <v>18</v>
      </c>
      <c r="D341" s="17">
        <v>2702.6</v>
      </c>
      <c r="E341" s="27">
        <v>12</v>
      </c>
      <c r="F341" s="18">
        <f t="shared" si="50"/>
        <v>56.3</v>
      </c>
      <c r="G341" s="19">
        <f t="shared" ref="G341:G343" si="54">ROUND(441.63/E341,2)</f>
        <v>36.799999999999997</v>
      </c>
      <c r="H341" s="45">
        <f t="shared" ref="H341:H342" si="55">ROUND(675.66/E341,2)</f>
        <v>56.31</v>
      </c>
    </row>
    <row r="342" spans="1:8" s="13" customFormat="1" ht="15.95" customHeight="1">
      <c r="A342" s="27">
        <v>247</v>
      </c>
      <c r="B342" s="31" t="s">
        <v>245</v>
      </c>
      <c r="C342" s="23" t="s">
        <v>18</v>
      </c>
      <c r="D342" s="17">
        <v>2702.6</v>
      </c>
      <c r="E342" s="27">
        <v>15</v>
      </c>
      <c r="F342" s="18">
        <f t="shared" si="50"/>
        <v>45.04</v>
      </c>
      <c r="G342" s="19">
        <f t="shared" si="54"/>
        <v>29.44</v>
      </c>
      <c r="H342" s="45">
        <f t="shared" si="55"/>
        <v>45.04</v>
      </c>
    </row>
    <row r="343" spans="1:8" s="13" customFormat="1" ht="15.95" customHeight="1">
      <c r="A343" s="27">
        <v>248</v>
      </c>
      <c r="B343" s="31" t="s">
        <v>246</v>
      </c>
      <c r="C343" s="23" t="s">
        <v>14</v>
      </c>
      <c r="D343" s="17">
        <v>4038.8</v>
      </c>
      <c r="E343" s="27">
        <v>68</v>
      </c>
      <c r="F343" s="18">
        <f t="shared" si="50"/>
        <v>14.85</v>
      </c>
      <c r="G343" s="19">
        <f t="shared" si="54"/>
        <v>6.49</v>
      </c>
      <c r="H343" s="45">
        <f t="shared" si="49"/>
        <v>14.85</v>
      </c>
    </row>
    <row r="344" spans="1:8" s="13" customFormat="1" ht="15.95" customHeight="1">
      <c r="A344" s="27">
        <v>249</v>
      </c>
      <c r="B344" s="31" t="s">
        <v>247</v>
      </c>
      <c r="C344" s="16" t="s">
        <v>12</v>
      </c>
      <c r="D344" s="17">
        <v>4464</v>
      </c>
      <c r="E344" s="27">
        <v>69</v>
      </c>
      <c r="F344" s="18">
        <f t="shared" si="50"/>
        <v>16.170000000000002</v>
      </c>
      <c r="G344" s="19">
        <f>ROUND(451.2/E344,2)</f>
        <v>6.54</v>
      </c>
      <c r="H344" s="45">
        <f>ROUND(1116/E344,2)</f>
        <v>16.170000000000002</v>
      </c>
    </row>
    <row r="345" spans="1:8" s="13" customFormat="1" ht="15.95" customHeight="1">
      <c r="A345" s="27">
        <v>250</v>
      </c>
      <c r="B345" s="31" t="s">
        <v>248</v>
      </c>
      <c r="C345" s="16" t="s">
        <v>20</v>
      </c>
      <c r="D345" s="17">
        <v>2702.6</v>
      </c>
      <c r="E345" s="27">
        <v>2</v>
      </c>
      <c r="F345" s="18">
        <f t="shared" si="50"/>
        <v>337.83</v>
      </c>
      <c r="G345" s="19">
        <f t="shared" ref="G345:G346" si="56">ROUND(441.63/E345,2)</f>
        <v>220.82</v>
      </c>
      <c r="H345" s="45">
        <f t="shared" ref="H345" si="57">ROUND(675.66/E345,2)</f>
        <v>337.83</v>
      </c>
    </row>
    <row r="346" spans="1:8" s="13" customFormat="1" ht="15.95" customHeight="1">
      <c r="A346" s="27">
        <v>251</v>
      </c>
      <c r="B346" s="31" t="s">
        <v>249</v>
      </c>
      <c r="C346" s="16" t="s">
        <v>16</v>
      </c>
      <c r="D346" s="17">
        <v>4038.8</v>
      </c>
      <c r="E346" s="27">
        <v>43</v>
      </c>
      <c r="F346" s="18">
        <f t="shared" si="50"/>
        <v>23.48</v>
      </c>
      <c r="G346" s="19">
        <f t="shared" si="56"/>
        <v>10.27</v>
      </c>
      <c r="H346" s="45">
        <f t="shared" si="49"/>
        <v>23.48</v>
      </c>
    </row>
    <row r="347" spans="1:8" s="13" customFormat="1" ht="15.95" customHeight="1">
      <c r="A347" s="27">
        <v>252</v>
      </c>
      <c r="B347" s="31" t="s">
        <v>250</v>
      </c>
      <c r="C347" s="23" t="s">
        <v>14</v>
      </c>
      <c r="D347" s="17">
        <v>4038.8</v>
      </c>
      <c r="E347" s="27">
        <v>83</v>
      </c>
      <c r="F347" s="18">
        <f t="shared" si="50"/>
        <v>12.17</v>
      </c>
      <c r="G347" s="19">
        <f>ROUND(441.63/E347,2)</f>
        <v>5.32</v>
      </c>
      <c r="H347" s="45">
        <f t="shared" si="49"/>
        <v>12.17</v>
      </c>
    </row>
    <row r="348" spans="1:8" s="13" customFormat="1" ht="15.95" customHeight="1">
      <c r="A348" s="27">
        <v>253</v>
      </c>
      <c r="B348" s="31" t="s">
        <v>251</v>
      </c>
      <c r="C348" s="16" t="s">
        <v>16</v>
      </c>
      <c r="D348" s="17">
        <v>4038.8</v>
      </c>
      <c r="E348" s="27">
        <v>61</v>
      </c>
      <c r="F348" s="18">
        <f t="shared" si="50"/>
        <v>16.55</v>
      </c>
      <c r="G348" s="19">
        <f t="shared" ref="G348:G350" si="58">ROUND(441.63/E348,2)</f>
        <v>7.24</v>
      </c>
      <c r="H348" s="45">
        <f t="shared" si="49"/>
        <v>16.55</v>
      </c>
    </row>
    <row r="349" spans="1:8" s="13" customFormat="1" ht="15.95" customHeight="1">
      <c r="A349" s="27">
        <v>254</v>
      </c>
      <c r="B349" s="31" t="s">
        <v>252</v>
      </c>
      <c r="C349" s="16" t="s">
        <v>16</v>
      </c>
      <c r="D349" s="17">
        <v>4038.8</v>
      </c>
      <c r="E349" s="27">
        <v>90</v>
      </c>
      <c r="F349" s="18">
        <f t="shared" si="50"/>
        <v>11.22</v>
      </c>
      <c r="G349" s="19">
        <f t="shared" si="58"/>
        <v>4.91</v>
      </c>
      <c r="H349" s="45">
        <f t="shared" si="49"/>
        <v>11.22</v>
      </c>
    </row>
    <row r="350" spans="1:8" s="13" customFormat="1" ht="15.95" customHeight="1">
      <c r="A350" s="27">
        <v>255</v>
      </c>
      <c r="B350" s="31" t="s">
        <v>253</v>
      </c>
      <c r="C350" s="16" t="s">
        <v>16</v>
      </c>
      <c r="D350" s="17">
        <v>4038.8</v>
      </c>
      <c r="E350" s="27">
        <v>62</v>
      </c>
      <c r="F350" s="18">
        <f t="shared" si="50"/>
        <v>16.29</v>
      </c>
      <c r="G350" s="19">
        <f t="shared" si="58"/>
        <v>7.12</v>
      </c>
      <c r="H350" s="45">
        <f t="shared" si="49"/>
        <v>16.29</v>
      </c>
    </row>
    <row r="351" spans="1:8" s="13" customFormat="1" ht="8.1" customHeight="1">
      <c r="A351" s="90">
        <v>256</v>
      </c>
      <c r="B351" s="92" t="s">
        <v>780</v>
      </c>
      <c r="C351" s="20" t="s">
        <v>254</v>
      </c>
      <c r="D351" s="69">
        <f>2702.6*2</f>
        <v>5405.2</v>
      </c>
      <c r="E351" s="71">
        <f>15+10</f>
        <v>25</v>
      </c>
      <c r="F351" s="73">
        <f t="shared" si="50"/>
        <v>54.05</v>
      </c>
      <c r="G351" s="76">
        <f>ROUND(441.63*2/E351,2)</f>
        <v>35.33</v>
      </c>
      <c r="H351" s="66">
        <f>ROUND(675.66*2/E351,2)</f>
        <v>54.05</v>
      </c>
    </row>
    <row r="352" spans="1:8" s="13" customFormat="1" ht="8.1" customHeight="1">
      <c r="A352" s="94"/>
      <c r="B352" s="93"/>
      <c r="C352" s="23" t="s">
        <v>254</v>
      </c>
      <c r="D352" s="70" t="e">
        <f>#REF!+#REF!</f>
        <v>#REF!</v>
      </c>
      <c r="E352" s="72"/>
      <c r="F352" s="74" t="e">
        <f t="shared" si="50"/>
        <v>#REF!</v>
      </c>
      <c r="G352" s="76" t="e">
        <f t="shared" ref="G352:G396" si="59">ROUND(512.79/E352,2)</f>
        <v>#DIV/0!</v>
      </c>
      <c r="H352" s="66"/>
    </row>
    <row r="353" spans="1:8" s="13" customFormat="1" ht="15.95" customHeight="1">
      <c r="A353" s="27">
        <v>257</v>
      </c>
      <c r="B353" s="49" t="s">
        <v>255</v>
      </c>
      <c r="C353" s="16" t="s">
        <v>254</v>
      </c>
      <c r="D353" s="17">
        <v>2702.6</v>
      </c>
      <c r="E353" s="28">
        <v>24</v>
      </c>
      <c r="F353" s="18">
        <f t="shared" si="50"/>
        <v>28.15</v>
      </c>
      <c r="G353" s="26">
        <f>ROUND(441.63/E353,2)</f>
        <v>18.399999999999999</v>
      </c>
      <c r="H353" s="50">
        <f>ROUND(675.66/E353,2)</f>
        <v>28.15</v>
      </c>
    </row>
    <row r="354" spans="1:8" s="13" customFormat="1" ht="15.95" customHeight="1">
      <c r="A354" s="27">
        <v>258</v>
      </c>
      <c r="B354" s="49" t="s">
        <v>256</v>
      </c>
      <c r="C354" s="16" t="s">
        <v>257</v>
      </c>
      <c r="D354" s="17">
        <v>3590</v>
      </c>
      <c r="E354" s="28">
        <v>54</v>
      </c>
      <c r="F354" s="18">
        <f t="shared" si="50"/>
        <v>16.62</v>
      </c>
      <c r="G354" s="26">
        <f t="shared" ref="G354:G355" si="60">ROUND(441.63/E354,2)</f>
        <v>8.18</v>
      </c>
      <c r="H354" s="50">
        <f>ROUND(897.51/E354,2)</f>
        <v>16.62</v>
      </c>
    </row>
    <row r="355" spans="1:8" s="13" customFormat="1" ht="15.95" customHeight="1">
      <c r="A355" s="27">
        <v>259</v>
      </c>
      <c r="B355" s="49" t="s">
        <v>258</v>
      </c>
      <c r="C355" s="16" t="s">
        <v>259</v>
      </c>
      <c r="D355" s="17">
        <v>3590</v>
      </c>
      <c r="E355" s="28">
        <v>24</v>
      </c>
      <c r="F355" s="18">
        <f t="shared" si="50"/>
        <v>37.4</v>
      </c>
      <c r="G355" s="26">
        <f t="shared" si="60"/>
        <v>18.399999999999999</v>
      </c>
      <c r="H355" s="50">
        <f>ROUND(897.51/E355,2)</f>
        <v>37.4</v>
      </c>
    </row>
    <row r="356" spans="1:8" s="13" customFormat="1" ht="8.1" customHeight="1">
      <c r="A356" s="90">
        <v>260</v>
      </c>
      <c r="B356" s="92" t="s">
        <v>781</v>
      </c>
      <c r="C356" s="20" t="s">
        <v>259</v>
      </c>
      <c r="D356" s="69">
        <f>3590*2</f>
        <v>7180</v>
      </c>
      <c r="E356" s="71">
        <f>18+38</f>
        <v>56</v>
      </c>
      <c r="F356" s="73">
        <f t="shared" si="50"/>
        <v>32.049999999999997</v>
      </c>
      <c r="G356" s="76">
        <f>ROUND(441.63*2/E356,2)</f>
        <v>15.77</v>
      </c>
      <c r="H356" s="65">
        <f>ROUND(897.51*2/E356,2)</f>
        <v>32.049999999999997</v>
      </c>
    </row>
    <row r="357" spans="1:8" s="13" customFormat="1" ht="8.1" customHeight="1">
      <c r="A357" s="91"/>
      <c r="B357" s="93"/>
      <c r="C357" s="23" t="s">
        <v>257</v>
      </c>
      <c r="D357" s="70" t="e">
        <f>#REF!+#REF!</f>
        <v>#REF!</v>
      </c>
      <c r="E357" s="72"/>
      <c r="F357" s="74" t="e">
        <f t="shared" si="50"/>
        <v>#REF!</v>
      </c>
      <c r="G357" s="76" t="e">
        <f t="shared" si="59"/>
        <v>#DIV/0!</v>
      </c>
      <c r="H357" s="65"/>
    </row>
    <row r="358" spans="1:8" s="13" customFormat="1" ht="8.1" customHeight="1">
      <c r="A358" s="90">
        <v>261</v>
      </c>
      <c r="B358" s="102" t="s">
        <v>782</v>
      </c>
      <c r="C358" s="20" t="s">
        <v>260</v>
      </c>
      <c r="D358" s="69">
        <f>2702.6+4038.8</f>
        <v>6741.4</v>
      </c>
      <c r="E358" s="71">
        <f>33+73</f>
        <v>106</v>
      </c>
      <c r="F358" s="73">
        <f t="shared" si="50"/>
        <v>15.9</v>
      </c>
      <c r="G358" s="76">
        <f>ROUND(441.63*2/E358,2)</f>
        <v>8.33</v>
      </c>
      <c r="H358" s="65">
        <f>ROUND((675.66+1009.71)/E358,2)</f>
        <v>15.9</v>
      </c>
    </row>
    <row r="359" spans="1:8" s="13" customFormat="1" ht="8.1" customHeight="1">
      <c r="A359" s="91"/>
      <c r="B359" s="103"/>
      <c r="C359" s="23" t="s">
        <v>261</v>
      </c>
      <c r="D359" s="70" t="e">
        <f>#REF!+#REF!</f>
        <v>#REF!</v>
      </c>
      <c r="E359" s="72"/>
      <c r="F359" s="74" t="e">
        <f t="shared" si="50"/>
        <v>#REF!</v>
      </c>
      <c r="G359" s="76" t="e">
        <f t="shared" si="59"/>
        <v>#DIV/0!</v>
      </c>
      <c r="H359" s="65"/>
    </row>
    <row r="360" spans="1:8" s="13" customFormat="1" ht="15.95" customHeight="1">
      <c r="A360" s="27">
        <v>262</v>
      </c>
      <c r="B360" s="49" t="s">
        <v>262</v>
      </c>
      <c r="C360" s="16" t="s">
        <v>254</v>
      </c>
      <c r="D360" s="17">
        <v>2702.6</v>
      </c>
      <c r="E360" s="28">
        <v>10</v>
      </c>
      <c r="F360" s="18">
        <f t="shared" si="50"/>
        <v>67.569999999999993</v>
      </c>
      <c r="G360" s="26">
        <f>ROUND(441.63/E360,2)</f>
        <v>44.16</v>
      </c>
      <c r="H360" s="50">
        <f>ROUND(675.66/E360,2)</f>
        <v>67.569999999999993</v>
      </c>
    </row>
    <row r="361" spans="1:8" s="13" customFormat="1" ht="8.1" customHeight="1">
      <c r="A361" s="101">
        <v>263</v>
      </c>
      <c r="B361" s="106" t="s">
        <v>783</v>
      </c>
      <c r="C361" s="20" t="s">
        <v>261</v>
      </c>
      <c r="D361" s="69">
        <f>4038.8+3590</f>
        <v>7628.8</v>
      </c>
      <c r="E361" s="89">
        <f>66+42</f>
        <v>108</v>
      </c>
      <c r="F361" s="73">
        <f t="shared" si="50"/>
        <v>17.66</v>
      </c>
      <c r="G361" s="76">
        <f>ROUND(441.63*2/E361,2)</f>
        <v>8.18</v>
      </c>
      <c r="H361" s="65">
        <f>ROUND((1009.71+897.51)/E361,2)</f>
        <v>17.66</v>
      </c>
    </row>
    <row r="362" spans="1:8" s="13" customFormat="1" ht="8.1" customHeight="1">
      <c r="A362" s="101"/>
      <c r="B362" s="106"/>
      <c r="C362" s="23" t="s">
        <v>263</v>
      </c>
      <c r="D362" s="70" t="e">
        <f>#REF!+#REF!</f>
        <v>#REF!</v>
      </c>
      <c r="E362" s="89"/>
      <c r="F362" s="74" t="e">
        <f t="shared" si="50"/>
        <v>#REF!</v>
      </c>
      <c r="G362" s="76" t="e">
        <f t="shared" si="59"/>
        <v>#DIV/0!</v>
      </c>
      <c r="H362" s="65"/>
    </row>
    <row r="363" spans="1:8" s="13" customFormat="1" ht="8.1" customHeight="1">
      <c r="A363" s="101">
        <v>264</v>
      </c>
      <c r="B363" s="106" t="s">
        <v>784</v>
      </c>
      <c r="C363" s="20" t="s">
        <v>16</v>
      </c>
      <c r="D363" s="69">
        <f>4038.8+3590</f>
        <v>7628.8</v>
      </c>
      <c r="E363" s="89">
        <f>57+41</f>
        <v>98</v>
      </c>
      <c r="F363" s="73">
        <f t="shared" si="50"/>
        <v>19.46</v>
      </c>
      <c r="G363" s="76">
        <f>ROUND(441.63*2/E363,2)</f>
        <v>9.01</v>
      </c>
      <c r="H363" s="65">
        <f>ROUND((1009.71+897.51)/E363,2)</f>
        <v>19.46</v>
      </c>
    </row>
    <row r="364" spans="1:8" s="13" customFormat="1" ht="8.1" customHeight="1">
      <c r="A364" s="101"/>
      <c r="B364" s="106"/>
      <c r="C364" s="23" t="s">
        <v>263</v>
      </c>
      <c r="D364" s="70" t="e">
        <f>#REF!+#REF!</f>
        <v>#REF!</v>
      </c>
      <c r="E364" s="89"/>
      <c r="F364" s="74" t="e">
        <f t="shared" si="50"/>
        <v>#REF!</v>
      </c>
      <c r="G364" s="76" t="e">
        <f t="shared" si="59"/>
        <v>#DIV/0!</v>
      </c>
      <c r="H364" s="65"/>
    </row>
    <row r="365" spans="1:8" s="13" customFormat="1" ht="15.95" customHeight="1">
      <c r="A365" s="27">
        <v>265</v>
      </c>
      <c r="B365" s="49" t="s">
        <v>264</v>
      </c>
      <c r="C365" s="16" t="s">
        <v>265</v>
      </c>
      <c r="D365" s="17">
        <v>4851.6000000000004</v>
      </c>
      <c r="E365" s="28">
        <v>175</v>
      </c>
      <c r="F365" s="18">
        <f t="shared" si="50"/>
        <v>6.93</v>
      </c>
      <c r="G365" s="19">
        <f>ROUND(452.88/E365,2)</f>
        <v>2.59</v>
      </c>
      <c r="H365" s="50">
        <f>ROUND(1212.9/E365,2)</f>
        <v>6.93</v>
      </c>
    </row>
    <row r="366" spans="1:8" s="13" customFormat="1" ht="15.95" customHeight="1">
      <c r="A366" s="27">
        <v>266</v>
      </c>
      <c r="B366" s="49" t="s">
        <v>266</v>
      </c>
      <c r="C366" s="16" t="s">
        <v>267</v>
      </c>
      <c r="D366" s="17">
        <v>4038.8</v>
      </c>
      <c r="E366" s="28">
        <v>64</v>
      </c>
      <c r="F366" s="18">
        <f t="shared" si="50"/>
        <v>15.78</v>
      </c>
      <c r="G366" s="19">
        <f>ROUND(469.47/E366,2)</f>
        <v>7.34</v>
      </c>
      <c r="H366" s="50">
        <f t="shared" si="49"/>
        <v>15.78</v>
      </c>
    </row>
    <row r="367" spans="1:8" s="13" customFormat="1" ht="15.95" customHeight="1">
      <c r="A367" s="27">
        <v>267</v>
      </c>
      <c r="B367" s="49" t="s">
        <v>268</v>
      </c>
      <c r="C367" s="16" t="s">
        <v>269</v>
      </c>
      <c r="D367" s="17">
        <v>3590</v>
      </c>
      <c r="E367" s="28">
        <v>33</v>
      </c>
      <c r="F367" s="18">
        <f t="shared" si="50"/>
        <v>27.2</v>
      </c>
      <c r="G367" s="26">
        <f>ROUND(469.47/E367,2)</f>
        <v>14.23</v>
      </c>
      <c r="H367" s="50">
        <f>ROUND(897.51/E367,2)</f>
        <v>27.2</v>
      </c>
    </row>
    <row r="368" spans="1:8" s="13" customFormat="1" ht="15.95" customHeight="1">
      <c r="A368" s="27">
        <v>268</v>
      </c>
      <c r="B368" s="49" t="s">
        <v>270</v>
      </c>
      <c r="C368" s="16" t="s">
        <v>265</v>
      </c>
      <c r="D368" s="17">
        <v>4851.6000000000004</v>
      </c>
      <c r="E368" s="28">
        <v>179</v>
      </c>
      <c r="F368" s="18">
        <f t="shared" si="50"/>
        <v>6.78</v>
      </c>
      <c r="G368" s="19">
        <f t="shared" ref="G368:G370" si="61">ROUND(452.88/E368,2)</f>
        <v>2.5299999999999998</v>
      </c>
      <c r="H368" s="50">
        <f>ROUND(1212.9/E368,2)</f>
        <v>6.78</v>
      </c>
    </row>
    <row r="369" spans="1:8" s="13" customFormat="1" ht="15.95" customHeight="1">
      <c r="A369" s="27">
        <v>269</v>
      </c>
      <c r="B369" s="49" t="s">
        <v>271</v>
      </c>
      <c r="C369" s="16" t="s">
        <v>265</v>
      </c>
      <c r="D369" s="17">
        <v>4851.6000000000004</v>
      </c>
      <c r="E369" s="28">
        <v>175</v>
      </c>
      <c r="F369" s="18">
        <f t="shared" si="50"/>
        <v>6.93</v>
      </c>
      <c r="G369" s="19">
        <f t="shared" si="61"/>
        <v>2.59</v>
      </c>
      <c r="H369" s="50">
        <f>ROUND(1212.9/E369,2)</f>
        <v>6.93</v>
      </c>
    </row>
    <row r="370" spans="1:8" s="13" customFormat="1" ht="15.95" customHeight="1">
      <c r="A370" s="27">
        <v>270</v>
      </c>
      <c r="B370" s="49" t="s">
        <v>272</v>
      </c>
      <c r="C370" s="16" t="s">
        <v>265</v>
      </c>
      <c r="D370" s="17">
        <v>4851.6000000000004</v>
      </c>
      <c r="E370" s="28">
        <v>172</v>
      </c>
      <c r="F370" s="18">
        <f t="shared" si="50"/>
        <v>7.05</v>
      </c>
      <c r="G370" s="19">
        <f t="shared" si="61"/>
        <v>2.63</v>
      </c>
      <c r="H370" s="50">
        <f>ROUND(1212.9/E370,2)</f>
        <v>7.05</v>
      </c>
    </row>
    <row r="371" spans="1:8" s="13" customFormat="1" ht="15.95" customHeight="1">
      <c r="A371" s="27">
        <v>271</v>
      </c>
      <c r="B371" s="49" t="s">
        <v>273</v>
      </c>
      <c r="C371" s="16" t="s">
        <v>274</v>
      </c>
      <c r="D371" s="17">
        <v>4464</v>
      </c>
      <c r="E371" s="28">
        <v>91</v>
      </c>
      <c r="F371" s="18">
        <f t="shared" si="50"/>
        <v>12.26</v>
      </c>
      <c r="G371" s="19">
        <f>ROUND(451.2/E371,2)</f>
        <v>4.96</v>
      </c>
      <c r="H371" s="50">
        <f>ROUND(1116/E371,2)</f>
        <v>12.26</v>
      </c>
    </row>
    <row r="372" spans="1:8" s="13" customFormat="1" ht="3.95" customHeight="1">
      <c r="A372" s="101">
        <v>272</v>
      </c>
      <c r="B372" s="92" t="s">
        <v>785</v>
      </c>
      <c r="C372" s="20" t="s">
        <v>275</v>
      </c>
      <c r="D372" s="69">
        <f>2702.6*4</f>
        <v>10810.4</v>
      </c>
      <c r="E372" s="71">
        <f>15+15+15+15</f>
        <v>60</v>
      </c>
      <c r="F372" s="73">
        <f t="shared" si="50"/>
        <v>45.04</v>
      </c>
      <c r="G372" s="76">
        <f>ROUND(441.63*4/E372,2)</f>
        <v>29.44</v>
      </c>
      <c r="H372" s="65">
        <f>ROUND(675.66*4/E372,2)</f>
        <v>45.04</v>
      </c>
    </row>
    <row r="373" spans="1:8" s="13" customFormat="1" ht="3.95" customHeight="1">
      <c r="A373" s="101"/>
      <c r="B373" s="98"/>
      <c r="C373" s="22" t="s">
        <v>275</v>
      </c>
      <c r="D373" s="77" t="e">
        <f>#REF!+#REF!</f>
        <v>#REF!</v>
      </c>
      <c r="E373" s="85"/>
      <c r="F373" s="81" t="e">
        <f t="shared" si="50"/>
        <v>#REF!</v>
      </c>
      <c r="G373" s="76" t="e">
        <f t="shared" si="59"/>
        <v>#DIV/0!</v>
      </c>
      <c r="H373" s="65"/>
    </row>
    <row r="374" spans="1:8" s="13" customFormat="1" ht="3.95" customHeight="1">
      <c r="A374" s="101"/>
      <c r="B374" s="98"/>
      <c r="C374" s="22" t="s">
        <v>275</v>
      </c>
      <c r="D374" s="77" t="e">
        <f>#REF!+#REF!</f>
        <v>#REF!</v>
      </c>
      <c r="E374" s="85"/>
      <c r="F374" s="81" t="e">
        <f t="shared" si="50"/>
        <v>#REF!</v>
      </c>
      <c r="G374" s="76" t="e">
        <f t="shared" si="59"/>
        <v>#DIV/0!</v>
      </c>
      <c r="H374" s="65"/>
    </row>
    <row r="375" spans="1:8" s="13" customFormat="1" ht="3.75" customHeight="1">
      <c r="A375" s="101"/>
      <c r="B375" s="93"/>
      <c r="C375" s="23" t="s">
        <v>275</v>
      </c>
      <c r="D375" s="70" t="e">
        <f>#REF!+#REF!</f>
        <v>#REF!</v>
      </c>
      <c r="E375" s="72"/>
      <c r="F375" s="74" t="e">
        <f t="shared" si="50"/>
        <v>#REF!</v>
      </c>
      <c r="G375" s="76" t="e">
        <f t="shared" si="59"/>
        <v>#DIV/0!</v>
      </c>
      <c r="H375" s="65"/>
    </row>
    <row r="376" spans="1:8" s="13" customFormat="1" ht="15.95" customHeight="1">
      <c r="A376" s="27">
        <v>273</v>
      </c>
      <c r="B376" s="49" t="s">
        <v>276</v>
      </c>
      <c r="C376" s="16" t="s">
        <v>261</v>
      </c>
      <c r="D376" s="17">
        <v>4038.8</v>
      </c>
      <c r="E376" s="28">
        <v>69</v>
      </c>
      <c r="F376" s="18">
        <f t="shared" si="50"/>
        <v>14.63</v>
      </c>
      <c r="G376" s="26">
        <f>ROUND(441.63/E376,2)</f>
        <v>6.4</v>
      </c>
      <c r="H376" s="50">
        <f t="shared" si="49"/>
        <v>14.63</v>
      </c>
    </row>
    <row r="377" spans="1:8" s="13" customFormat="1" ht="15.95" customHeight="1">
      <c r="A377" s="27">
        <v>274</v>
      </c>
      <c r="B377" s="49" t="s">
        <v>277</v>
      </c>
      <c r="C377" s="16" t="s">
        <v>261</v>
      </c>
      <c r="D377" s="17">
        <v>4038.8</v>
      </c>
      <c r="E377" s="28">
        <v>69</v>
      </c>
      <c r="F377" s="18">
        <f t="shared" si="50"/>
        <v>14.63</v>
      </c>
      <c r="G377" s="26">
        <f t="shared" ref="G377:G378" si="62">ROUND(441.63/E377,2)</f>
        <v>6.4</v>
      </c>
      <c r="H377" s="50">
        <f t="shared" si="49"/>
        <v>14.63</v>
      </c>
    </row>
    <row r="378" spans="1:8" s="13" customFormat="1" ht="15.95" customHeight="1">
      <c r="A378" s="27">
        <v>275</v>
      </c>
      <c r="B378" s="49" t="s">
        <v>278</v>
      </c>
      <c r="C378" s="16" t="s">
        <v>261</v>
      </c>
      <c r="D378" s="17">
        <v>4038.8</v>
      </c>
      <c r="E378" s="28">
        <v>70</v>
      </c>
      <c r="F378" s="18">
        <f t="shared" si="50"/>
        <v>14.42</v>
      </c>
      <c r="G378" s="26">
        <f t="shared" si="62"/>
        <v>6.31</v>
      </c>
      <c r="H378" s="50">
        <f t="shared" si="49"/>
        <v>14.42</v>
      </c>
    </row>
    <row r="379" spans="1:8" s="13" customFormat="1" ht="15.95" customHeight="1">
      <c r="A379" s="27">
        <v>276</v>
      </c>
      <c r="B379" s="49" t="s">
        <v>279</v>
      </c>
      <c r="C379" s="51" t="s">
        <v>280</v>
      </c>
      <c r="D379" s="17">
        <v>3590</v>
      </c>
      <c r="E379" s="28">
        <v>36</v>
      </c>
      <c r="F379" s="18">
        <f t="shared" si="50"/>
        <v>24.93</v>
      </c>
      <c r="G379" s="26">
        <f>ROUND(469.47/E379,2)</f>
        <v>13.04</v>
      </c>
      <c r="H379" s="50">
        <f>ROUND(897.51/E379,2)</f>
        <v>24.93</v>
      </c>
    </row>
    <row r="380" spans="1:8" s="13" customFormat="1" ht="15.95" customHeight="1">
      <c r="A380" s="27">
        <v>277</v>
      </c>
      <c r="B380" s="49" t="s">
        <v>281</v>
      </c>
      <c r="C380" s="16" t="s">
        <v>282</v>
      </c>
      <c r="D380" s="17">
        <v>4464</v>
      </c>
      <c r="E380" s="28">
        <v>99</v>
      </c>
      <c r="F380" s="18">
        <f t="shared" si="50"/>
        <v>11.27</v>
      </c>
      <c r="G380" s="19">
        <f>ROUND(451.2/E380,2)</f>
        <v>4.5599999999999996</v>
      </c>
      <c r="H380" s="50">
        <f>ROUND(1116/E380,2)</f>
        <v>11.27</v>
      </c>
    </row>
    <row r="381" spans="1:8" s="13" customFormat="1" ht="15.95" customHeight="1">
      <c r="A381" s="27">
        <v>278</v>
      </c>
      <c r="B381" s="49" t="s">
        <v>283</v>
      </c>
      <c r="C381" s="16" t="s">
        <v>274</v>
      </c>
      <c r="D381" s="17">
        <v>4464</v>
      </c>
      <c r="E381" s="28">
        <v>99</v>
      </c>
      <c r="F381" s="18">
        <f t="shared" si="50"/>
        <v>11.27</v>
      </c>
      <c r="G381" s="19">
        <f>ROUND(451.2/E381,2)</f>
        <v>4.5599999999999996</v>
      </c>
      <c r="H381" s="50">
        <f>ROUND(1116/E381,2)</f>
        <v>11.27</v>
      </c>
    </row>
    <row r="382" spans="1:8" s="13" customFormat="1" ht="15.95" customHeight="1">
      <c r="A382" s="27">
        <v>279</v>
      </c>
      <c r="B382" s="49" t="s">
        <v>284</v>
      </c>
      <c r="C382" s="16" t="s">
        <v>261</v>
      </c>
      <c r="D382" s="17">
        <v>4038.8</v>
      </c>
      <c r="E382" s="28">
        <v>99</v>
      </c>
      <c r="F382" s="18">
        <f t="shared" si="50"/>
        <v>10.199999999999999</v>
      </c>
      <c r="G382" s="26">
        <f>ROUND(441.63/E382,2)</f>
        <v>4.46</v>
      </c>
      <c r="H382" s="50">
        <f t="shared" si="49"/>
        <v>10.199999999999999</v>
      </c>
    </row>
    <row r="383" spans="1:8" s="13" customFormat="1" ht="15.95" customHeight="1">
      <c r="A383" s="27">
        <v>280</v>
      </c>
      <c r="B383" s="49" t="s">
        <v>285</v>
      </c>
      <c r="C383" s="16" t="s">
        <v>257</v>
      </c>
      <c r="D383" s="17">
        <v>3590</v>
      </c>
      <c r="E383" s="28">
        <v>7</v>
      </c>
      <c r="F383" s="18">
        <f t="shared" si="50"/>
        <v>128.21</v>
      </c>
      <c r="G383" s="26">
        <f>ROUND(441.63/E383,2)</f>
        <v>63.09</v>
      </c>
      <c r="H383" s="50">
        <f>ROUND(897.51/E383,2)</f>
        <v>128.22</v>
      </c>
    </row>
    <row r="384" spans="1:8" s="13" customFormat="1" ht="15.95" customHeight="1">
      <c r="A384" s="27">
        <v>281</v>
      </c>
      <c r="B384" s="49" t="s">
        <v>788</v>
      </c>
      <c r="C384" s="16" t="s">
        <v>286</v>
      </c>
      <c r="D384" s="17">
        <v>6410.8</v>
      </c>
      <c r="E384" s="28">
        <v>249</v>
      </c>
      <c r="F384" s="18">
        <f t="shared" si="50"/>
        <v>6.44</v>
      </c>
      <c r="G384" s="26">
        <f>ROUND(705.6/E384,2)</f>
        <v>2.83</v>
      </c>
      <c r="H384" s="50">
        <f>ROUND(1602.69/E384,2)</f>
        <v>6.44</v>
      </c>
    </row>
    <row r="385" spans="1:8" s="13" customFormat="1" ht="15.95" customHeight="1">
      <c r="A385" s="27">
        <v>282</v>
      </c>
      <c r="B385" s="49" t="s">
        <v>287</v>
      </c>
      <c r="C385" s="16" t="s">
        <v>261</v>
      </c>
      <c r="D385" s="17">
        <v>4038.8</v>
      </c>
      <c r="E385" s="28">
        <v>80</v>
      </c>
      <c r="F385" s="18">
        <f t="shared" si="50"/>
        <v>12.62</v>
      </c>
      <c r="G385" s="26">
        <f t="shared" ref="G385:G387" si="63">ROUND(441.63/E385,2)</f>
        <v>5.52</v>
      </c>
      <c r="H385" s="50">
        <f t="shared" si="49"/>
        <v>12.62</v>
      </c>
    </row>
    <row r="386" spans="1:8" s="13" customFormat="1" ht="15.95" customHeight="1">
      <c r="A386" s="27">
        <v>283</v>
      </c>
      <c r="B386" s="49" t="s">
        <v>288</v>
      </c>
      <c r="C386" s="16" t="s">
        <v>263</v>
      </c>
      <c r="D386" s="17">
        <v>3590</v>
      </c>
      <c r="E386" s="28">
        <v>13</v>
      </c>
      <c r="F386" s="18">
        <f t="shared" si="50"/>
        <v>69.040000000000006</v>
      </c>
      <c r="G386" s="26">
        <f t="shared" si="63"/>
        <v>33.97</v>
      </c>
      <c r="H386" s="50">
        <f>ROUND(897.51/E386,2)</f>
        <v>69.040000000000006</v>
      </c>
    </row>
    <row r="387" spans="1:8" s="13" customFormat="1" ht="15.95" customHeight="1">
      <c r="A387" s="27">
        <v>284</v>
      </c>
      <c r="B387" s="49" t="s">
        <v>289</v>
      </c>
      <c r="C387" s="16" t="s">
        <v>290</v>
      </c>
      <c r="D387" s="17">
        <v>4038.8</v>
      </c>
      <c r="E387" s="28">
        <v>71</v>
      </c>
      <c r="F387" s="18">
        <f t="shared" si="50"/>
        <v>14.22</v>
      </c>
      <c r="G387" s="26">
        <f t="shared" si="63"/>
        <v>6.22</v>
      </c>
      <c r="H387" s="50">
        <f t="shared" si="49"/>
        <v>14.22</v>
      </c>
    </row>
    <row r="388" spans="1:8" s="13" customFormat="1" ht="8.1" customHeight="1">
      <c r="A388" s="101">
        <v>285</v>
      </c>
      <c r="B388" s="92" t="s">
        <v>786</v>
      </c>
      <c r="C388" s="20" t="s">
        <v>254</v>
      </c>
      <c r="D388" s="69">
        <f>2702.6*2</f>
        <v>5405.2</v>
      </c>
      <c r="E388" s="71">
        <f>30+30</f>
        <v>60</v>
      </c>
      <c r="F388" s="73">
        <f t="shared" si="50"/>
        <v>22.52</v>
      </c>
      <c r="G388" s="76">
        <f>ROUND(441.63*2/E388,2)</f>
        <v>14.72</v>
      </c>
      <c r="H388" s="65">
        <f>ROUND(675.66*2/E388,2)</f>
        <v>22.52</v>
      </c>
    </row>
    <row r="389" spans="1:8" s="13" customFormat="1" ht="8.1" customHeight="1">
      <c r="A389" s="101"/>
      <c r="B389" s="93"/>
      <c r="C389" s="52" t="s">
        <v>291</v>
      </c>
      <c r="D389" s="70" t="e">
        <f>#REF!+#REF!</f>
        <v>#REF!</v>
      </c>
      <c r="E389" s="72"/>
      <c r="F389" s="74" t="e">
        <f t="shared" si="50"/>
        <v>#REF!</v>
      </c>
      <c r="G389" s="76" t="e">
        <f t="shared" si="59"/>
        <v>#DIV/0!</v>
      </c>
      <c r="H389" s="65"/>
    </row>
    <row r="390" spans="1:8" s="13" customFormat="1" ht="15.95" customHeight="1">
      <c r="A390" s="27">
        <v>286</v>
      </c>
      <c r="B390" s="49" t="s">
        <v>292</v>
      </c>
      <c r="C390" s="16" t="s">
        <v>290</v>
      </c>
      <c r="D390" s="17">
        <v>4038.8</v>
      </c>
      <c r="E390" s="28">
        <v>26</v>
      </c>
      <c r="F390" s="18">
        <f t="shared" si="50"/>
        <v>38.83</v>
      </c>
      <c r="G390" s="26">
        <f t="shared" ref="G390:G391" si="64">ROUND(441.63/E390,2)</f>
        <v>16.989999999999998</v>
      </c>
      <c r="H390" s="50">
        <f t="shared" si="49"/>
        <v>38.840000000000003</v>
      </c>
    </row>
    <row r="391" spans="1:8" s="13" customFormat="1" ht="15.95" customHeight="1">
      <c r="A391" s="27">
        <v>287</v>
      </c>
      <c r="B391" s="49" t="s">
        <v>293</v>
      </c>
      <c r="C391" s="16" t="s">
        <v>290</v>
      </c>
      <c r="D391" s="17">
        <v>4038.8</v>
      </c>
      <c r="E391" s="28">
        <v>78</v>
      </c>
      <c r="F391" s="18">
        <f t="shared" si="50"/>
        <v>12.94</v>
      </c>
      <c r="G391" s="26">
        <f t="shared" si="64"/>
        <v>5.66</v>
      </c>
      <c r="H391" s="50">
        <f t="shared" si="49"/>
        <v>12.95</v>
      </c>
    </row>
    <row r="392" spans="1:8" s="13" customFormat="1" ht="15.95" customHeight="1">
      <c r="A392" s="27">
        <v>288</v>
      </c>
      <c r="B392" s="49" t="s">
        <v>294</v>
      </c>
      <c r="C392" s="16" t="s">
        <v>254</v>
      </c>
      <c r="D392" s="17">
        <v>2702.6</v>
      </c>
      <c r="E392" s="28">
        <v>5</v>
      </c>
      <c r="F392" s="18">
        <f t="shared" si="50"/>
        <v>135.13</v>
      </c>
      <c r="G392" s="26">
        <f>ROUND(441.63/E392,2)</f>
        <v>88.33</v>
      </c>
      <c r="H392" s="50">
        <f>ROUND(675.66/E392,2)</f>
        <v>135.13</v>
      </c>
    </row>
    <row r="393" spans="1:8" s="13" customFormat="1" ht="15.95" customHeight="1">
      <c r="A393" s="27">
        <v>289</v>
      </c>
      <c r="B393" s="49" t="s">
        <v>295</v>
      </c>
      <c r="C393" s="16" t="s">
        <v>267</v>
      </c>
      <c r="D393" s="17">
        <v>4038.8</v>
      </c>
      <c r="E393" s="28">
        <v>38</v>
      </c>
      <c r="F393" s="18">
        <f t="shared" si="50"/>
        <v>26.57</v>
      </c>
      <c r="G393" s="19">
        <f>ROUND(469.47/E393,2)</f>
        <v>12.35</v>
      </c>
      <c r="H393" s="50">
        <f t="shared" si="49"/>
        <v>26.57</v>
      </c>
    </row>
    <row r="394" spans="1:8" s="13" customFormat="1" ht="15.75" customHeight="1">
      <c r="A394" s="27">
        <v>290</v>
      </c>
      <c r="B394" s="49" t="s">
        <v>296</v>
      </c>
      <c r="C394" s="16" t="s">
        <v>263</v>
      </c>
      <c r="D394" s="17">
        <v>3590</v>
      </c>
      <c r="E394" s="28">
        <v>29</v>
      </c>
      <c r="F394" s="18">
        <f t="shared" si="50"/>
        <v>30.95</v>
      </c>
      <c r="G394" s="26">
        <f>ROUND(441.63/E394,2)</f>
        <v>15.23</v>
      </c>
      <c r="H394" s="50">
        <f>ROUND(897.51/E394,2)</f>
        <v>30.95</v>
      </c>
    </row>
    <row r="395" spans="1:8" s="13" customFormat="1" ht="9" customHeight="1">
      <c r="A395" s="101">
        <v>291</v>
      </c>
      <c r="B395" s="105" t="s">
        <v>787</v>
      </c>
      <c r="C395" s="20" t="s">
        <v>297</v>
      </c>
      <c r="D395" s="75">
        <f>3590+2702.6</f>
        <v>6292.6</v>
      </c>
      <c r="E395" s="89">
        <f>80+41</f>
        <v>121</v>
      </c>
      <c r="F395" s="107">
        <f t="shared" si="50"/>
        <v>13</v>
      </c>
      <c r="G395" s="76">
        <f>ROUND((469.47+467.97)/E395,2)</f>
        <v>7.75</v>
      </c>
      <c r="H395" s="65">
        <f>ROUND((897.51+675.66)/E395,2)</f>
        <v>13</v>
      </c>
    </row>
    <row r="396" spans="1:8" s="13" customFormat="1" ht="9" customHeight="1">
      <c r="A396" s="101"/>
      <c r="B396" s="105"/>
      <c r="C396" s="23" t="s">
        <v>298</v>
      </c>
      <c r="D396" s="75" t="e">
        <f>#REF!+#REF!</f>
        <v>#REF!</v>
      </c>
      <c r="E396" s="89"/>
      <c r="F396" s="107" t="e">
        <f t="shared" si="50"/>
        <v>#REF!</v>
      </c>
      <c r="G396" s="76" t="e">
        <f t="shared" si="59"/>
        <v>#DIV/0!</v>
      </c>
      <c r="H396" s="65"/>
    </row>
    <row r="397" spans="1:8" s="13" customFormat="1" ht="15.95" customHeight="1">
      <c r="A397" s="27">
        <v>292</v>
      </c>
      <c r="B397" s="49" t="s">
        <v>299</v>
      </c>
      <c r="C397" s="53" t="s">
        <v>300</v>
      </c>
      <c r="D397" s="17">
        <v>4464</v>
      </c>
      <c r="E397" s="28">
        <v>107</v>
      </c>
      <c r="F397" s="18">
        <f t="shared" ref="F397:F460" si="65">ROUND(D397/E397/4,2)</f>
        <v>10.43</v>
      </c>
      <c r="G397" s="19">
        <f>ROUND(482.49/E397,2)</f>
        <v>4.51</v>
      </c>
      <c r="H397" s="50">
        <f>ROUND(1116/E397,2)</f>
        <v>10.43</v>
      </c>
    </row>
    <row r="398" spans="1:8" s="13" customFormat="1" ht="15.95" customHeight="1">
      <c r="A398" s="27">
        <v>293</v>
      </c>
      <c r="B398" s="49" t="s">
        <v>301</v>
      </c>
      <c r="C398" s="16" t="s">
        <v>290</v>
      </c>
      <c r="D398" s="17">
        <v>4038.8</v>
      </c>
      <c r="E398" s="28">
        <v>77</v>
      </c>
      <c r="F398" s="18">
        <f t="shared" si="65"/>
        <v>13.11</v>
      </c>
      <c r="G398" s="26">
        <f>ROUND(441.63/E398,2)</f>
        <v>5.74</v>
      </c>
      <c r="H398" s="50">
        <f t="shared" ref="H398:H457" si="66">ROUND(1009.71/E398,2)</f>
        <v>13.11</v>
      </c>
    </row>
    <row r="399" spans="1:8" s="13" customFormat="1" ht="15.95" customHeight="1">
      <c r="A399" s="27">
        <v>294</v>
      </c>
      <c r="B399" s="49" t="s">
        <v>302</v>
      </c>
      <c r="C399" s="16" t="s">
        <v>303</v>
      </c>
      <c r="D399" s="17">
        <v>4038.8</v>
      </c>
      <c r="E399" s="28">
        <v>39</v>
      </c>
      <c r="F399" s="18">
        <f t="shared" si="65"/>
        <v>25.89</v>
      </c>
      <c r="G399" s="26">
        <f>ROUND(469.47/E399,2)</f>
        <v>12.04</v>
      </c>
      <c r="H399" s="50">
        <f t="shared" si="66"/>
        <v>25.89</v>
      </c>
    </row>
    <row r="400" spans="1:8" s="13" customFormat="1" ht="15.95" customHeight="1">
      <c r="A400" s="27">
        <v>295</v>
      </c>
      <c r="B400" s="49" t="s">
        <v>304</v>
      </c>
      <c r="C400" s="16" t="s">
        <v>254</v>
      </c>
      <c r="D400" s="17">
        <v>2702.6</v>
      </c>
      <c r="E400" s="28">
        <v>23</v>
      </c>
      <c r="F400" s="18">
        <f t="shared" si="65"/>
        <v>29.38</v>
      </c>
      <c r="G400" s="26">
        <f>ROUND(441.63/E400,2)</f>
        <v>19.2</v>
      </c>
      <c r="H400" s="50">
        <f>ROUND(675.66/E400,2)</f>
        <v>29.38</v>
      </c>
    </row>
    <row r="401" spans="1:8" s="13" customFormat="1" ht="15.95" customHeight="1">
      <c r="A401" s="27">
        <v>296</v>
      </c>
      <c r="B401" s="49" t="s">
        <v>305</v>
      </c>
      <c r="C401" s="16" t="s">
        <v>263</v>
      </c>
      <c r="D401" s="17">
        <v>3590</v>
      </c>
      <c r="E401" s="28">
        <v>35</v>
      </c>
      <c r="F401" s="18">
        <f t="shared" si="65"/>
        <v>25.64</v>
      </c>
      <c r="G401" s="26">
        <f t="shared" ref="G401:G402" si="67">ROUND(441.63/E401,2)</f>
        <v>12.62</v>
      </c>
      <c r="H401" s="50">
        <f>ROUND(897.51/E401,2)</f>
        <v>25.64</v>
      </c>
    </row>
    <row r="402" spans="1:8" s="13" customFormat="1" ht="15.95" customHeight="1">
      <c r="A402" s="27">
        <v>297</v>
      </c>
      <c r="B402" s="49" t="s">
        <v>306</v>
      </c>
      <c r="C402" s="16" t="s">
        <v>263</v>
      </c>
      <c r="D402" s="17">
        <v>3590</v>
      </c>
      <c r="E402" s="28">
        <v>20</v>
      </c>
      <c r="F402" s="18">
        <f t="shared" si="65"/>
        <v>44.88</v>
      </c>
      <c r="G402" s="26">
        <f t="shared" si="67"/>
        <v>22.08</v>
      </c>
      <c r="H402" s="50">
        <f t="shared" ref="H402:H403" si="68">ROUND(897.51/E402,2)</f>
        <v>44.88</v>
      </c>
    </row>
    <row r="403" spans="1:8" s="13" customFormat="1" ht="15.95" customHeight="1">
      <c r="A403" s="27">
        <v>298</v>
      </c>
      <c r="B403" s="49" t="s">
        <v>307</v>
      </c>
      <c r="C403" s="16" t="s">
        <v>257</v>
      </c>
      <c r="D403" s="17">
        <v>3590</v>
      </c>
      <c r="E403" s="28">
        <v>23</v>
      </c>
      <c r="F403" s="18">
        <f t="shared" si="65"/>
        <v>39.020000000000003</v>
      </c>
      <c r="G403" s="26">
        <f t="shared" ref="G403:G405" si="69">ROUND(441.63/E403,2)</f>
        <v>19.2</v>
      </c>
      <c r="H403" s="50">
        <f t="shared" si="68"/>
        <v>39.020000000000003</v>
      </c>
    </row>
    <row r="404" spans="1:8" s="13" customFormat="1" ht="15.95" customHeight="1">
      <c r="A404" s="27">
        <v>299</v>
      </c>
      <c r="B404" s="49" t="s">
        <v>308</v>
      </c>
      <c r="C404" s="16" t="s">
        <v>254</v>
      </c>
      <c r="D404" s="17">
        <v>2702.6</v>
      </c>
      <c r="E404" s="28">
        <v>10</v>
      </c>
      <c r="F404" s="18">
        <f t="shared" si="65"/>
        <v>67.569999999999993</v>
      </c>
      <c r="G404" s="26">
        <f t="shared" si="69"/>
        <v>44.16</v>
      </c>
      <c r="H404" s="50">
        <f>ROUND(675.66/E404,2)</f>
        <v>67.569999999999993</v>
      </c>
    </row>
    <row r="405" spans="1:8" s="13" customFormat="1" ht="15.95" customHeight="1">
      <c r="A405" s="27">
        <v>300</v>
      </c>
      <c r="B405" s="49" t="s">
        <v>309</v>
      </c>
      <c r="C405" s="16" t="s">
        <v>290</v>
      </c>
      <c r="D405" s="17">
        <v>4038.8</v>
      </c>
      <c r="E405" s="28">
        <v>22</v>
      </c>
      <c r="F405" s="18">
        <f t="shared" si="65"/>
        <v>45.9</v>
      </c>
      <c r="G405" s="26">
        <f t="shared" si="69"/>
        <v>20.07</v>
      </c>
      <c r="H405" s="50">
        <f t="shared" si="66"/>
        <v>45.9</v>
      </c>
    </row>
    <row r="406" spans="1:8" s="13" customFormat="1" ht="15.95" customHeight="1">
      <c r="A406" s="27">
        <v>301</v>
      </c>
      <c r="B406" s="49" t="s">
        <v>310</v>
      </c>
      <c r="C406" s="16" t="s">
        <v>311</v>
      </c>
      <c r="D406" s="17">
        <v>4851.6000000000004</v>
      </c>
      <c r="E406" s="28">
        <v>157</v>
      </c>
      <c r="F406" s="18">
        <f t="shared" si="65"/>
        <v>7.73</v>
      </c>
      <c r="G406" s="19">
        <f>ROUND(452.88/E406,2)</f>
        <v>2.88</v>
      </c>
      <c r="H406" s="50">
        <f>ROUND(1212.9/E406,2)</f>
        <v>7.73</v>
      </c>
    </row>
    <row r="407" spans="1:8" s="13" customFormat="1" ht="15.95" customHeight="1">
      <c r="A407" s="27">
        <v>302</v>
      </c>
      <c r="B407" s="49" t="s">
        <v>312</v>
      </c>
      <c r="C407" s="16" t="s">
        <v>303</v>
      </c>
      <c r="D407" s="17">
        <v>4038.8</v>
      </c>
      <c r="E407" s="28">
        <v>45</v>
      </c>
      <c r="F407" s="18">
        <f t="shared" si="65"/>
        <v>22.44</v>
      </c>
      <c r="G407" s="26">
        <f>ROUND(469.47/E407,2)</f>
        <v>10.43</v>
      </c>
      <c r="H407" s="50">
        <f t="shared" si="66"/>
        <v>22.44</v>
      </c>
    </row>
    <row r="408" spans="1:8" s="13" customFormat="1" ht="15.95" customHeight="1">
      <c r="A408" s="27">
        <v>303</v>
      </c>
      <c r="B408" s="49" t="s">
        <v>313</v>
      </c>
      <c r="C408" s="16" t="s">
        <v>267</v>
      </c>
      <c r="D408" s="17">
        <v>4038.8</v>
      </c>
      <c r="E408" s="28">
        <v>80</v>
      </c>
      <c r="F408" s="18">
        <f t="shared" si="65"/>
        <v>12.62</v>
      </c>
      <c r="G408" s="26">
        <f>ROUND(469.47/E408,2)</f>
        <v>5.87</v>
      </c>
      <c r="H408" s="50">
        <f t="shared" si="66"/>
        <v>12.62</v>
      </c>
    </row>
    <row r="409" spans="1:8" s="13" customFormat="1" ht="15.95" customHeight="1">
      <c r="A409" s="27">
        <v>304</v>
      </c>
      <c r="B409" s="49" t="s">
        <v>314</v>
      </c>
      <c r="C409" s="16" t="s">
        <v>275</v>
      </c>
      <c r="D409" s="17">
        <v>2702.6</v>
      </c>
      <c r="E409" s="28">
        <v>11</v>
      </c>
      <c r="F409" s="18">
        <f t="shared" si="65"/>
        <v>61.42</v>
      </c>
      <c r="G409" s="26">
        <f t="shared" ref="G409" si="70">ROUND(441.63/E409,2)</f>
        <v>40.15</v>
      </c>
      <c r="H409" s="50">
        <f>ROUND(675.66/E409,2)</f>
        <v>61.42</v>
      </c>
    </row>
    <row r="410" spans="1:8" s="13" customFormat="1" ht="15.95" customHeight="1">
      <c r="A410" s="27">
        <v>305</v>
      </c>
      <c r="B410" s="49" t="s">
        <v>315</v>
      </c>
      <c r="C410" s="16" t="s">
        <v>316</v>
      </c>
      <c r="D410" s="17">
        <v>4038.8</v>
      </c>
      <c r="E410" s="28">
        <v>108</v>
      </c>
      <c r="F410" s="18">
        <f t="shared" si="65"/>
        <v>9.35</v>
      </c>
      <c r="G410" s="26">
        <f>ROUND(441.63/E410,2)</f>
        <v>4.09</v>
      </c>
      <c r="H410" s="50">
        <f t="shared" si="66"/>
        <v>9.35</v>
      </c>
    </row>
    <row r="411" spans="1:8" s="13" customFormat="1" ht="15.95" customHeight="1">
      <c r="A411" s="27">
        <v>306</v>
      </c>
      <c r="B411" s="49" t="s">
        <v>317</v>
      </c>
      <c r="C411" s="16" t="s">
        <v>318</v>
      </c>
      <c r="D411" s="17">
        <v>4464</v>
      </c>
      <c r="E411" s="28">
        <v>169</v>
      </c>
      <c r="F411" s="18">
        <f t="shared" si="65"/>
        <v>6.6</v>
      </c>
      <c r="G411" s="19">
        <f>ROUND(451.2/E411,2)</f>
        <v>2.67</v>
      </c>
      <c r="H411" s="50">
        <f>ROUND(1116/E411,2)</f>
        <v>6.6</v>
      </c>
    </row>
    <row r="412" spans="1:8" s="13" customFormat="1" ht="15.95" customHeight="1">
      <c r="A412" s="27">
        <v>307</v>
      </c>
      <c r="B412" s="49" t="s">
        <v>319</v>
      </c>
      <c r="C412" s="16" t="s">
        <v>320</v>
      </c>
      <c r="D412" s="17">
        <v>4464</v>
      </c>
      <c r="E412" s="28">
        <v>108</v>
      </c>
      <c r="F412" s="18">
        <f t="shared" si="65"/>
        <v>10.33</v>
      </c>
      <c r="G412" s="19">
        <f>ROUND(451.2/E412,2)</f>
        <v>4.18</v>
      </c>
      <c r="H412" s="50">
        <f>ROUND(1116/E412,2)</f>
        <v>10.33</v>
      </c>
    </row>
    <row r="413" spans="1:8" s="13" customFormat="1" ht="8.1" customHeight="1">
      <c r="A413" s="101">
        <v>308</v>
      </c>
      <c r="B413" s="92" t="s">
        <v>789</v>
      </c>
      <c r="C413" s="20" t="s">
        <v>320</v>
      </c>
      <c r="D413" s="69">
        <f>4464*2</f>
        <v>8928</v>
      </c>
      <c r="E413" s="71">
        <f>118+75</f>
        <v>193</v>
      </c>
      <c r="F413" s="73">
        <f t="shared" si="65"/>
        <v>11.56</v>
      </c>
      <c r="G413" s="76">
        <f>ROUND(451.2*2/E413,2)</f>
        <v>4.68</v>
      </c>
      <c r="H413" s="65">
        <f>ROUND(1116*2/E413,2)</f>
        <v>11.56</v>
      </c>
    </row>
    <row r="414" spans="1:8" s="13" customFormat="1" ht="8.1" customHeight="1">
      <c r="A414" s="101"/>
      <c r="B414" s="93"/>
      <c r="C414" s="23" t="s">
        <v>320</v>
      </c>
      <c r="D414" s="70" t="e">
        <f>#REF!+#REF!</f>
        <v>#REF!</v>
      </c>
      <c r="E414" s="72"/>
      <c r="F414" s="74" t="e">
        <f t="shared" si="65"/>
        <v>#REF!</v>
      </c>
      <c r="G414" s="76" t="e">
        <f t="shared" ref="G414:G456" si="71">ROUND(512.79/E414,2)</f>
        <v>#DIV/0!</v>
      </c>
      <c r="H414" s="65"/>
    </row>
    <row r="415" spans="1:8" s="13" customFormat="1" ht="15.95" customHeight="1">
      <c r="A415" s="27">
        <v>309</v>
      </c>
      <c r="B415" s="49" t="s">
        <v>321</v>
      </c>
      <c r="C415" s="16" t="s">
        <v>316</v>
      </c>
      <c r="D415" s="17">
        <v>4038.8</v>
      </c>
      <c r="E415" s="28">
        <v>73</v>
      </c>
      <c r="F415" s="18">
        <f t="shared" si="65"/>
        <v>13.83</v>
      </c>
      <c r="G415" s="26">
        <f>ROUND(441.63/E415,2)</f>
        <v>6.05</v>
      </c>
      <c r="H415" s="45">
        <f t="shared" si="66"/>
        <v>13.83</v>
      </c>
    </row>
    <row r="416" spans="1:8" s="13" customFormat="1" ht="15.95" customHeight="1">
      <c r="A416" s="27">
        <v>310</v>
      </c>
      <c r="B416" s="49" t="s">
        <v>322</v>
      </c>
      <c r="C416" s="16" t="s">
        <v>320</v>
      </c>
      <c r="D416" s="17">
        <v>4464</v>
      </c>
      <c r="E416" s="28">
        <v>110</v>
      </c>
      <c r="F416" s="18">
        <f t="shared" si="65"/>
        <v>10.15</v>
      </c>
      <c r="G416" s="26">
        <f>ROUND(451.2/E416,2)</f>
        <v>4.0999999999999996</v>
      </c>
      <c r="H416" s="45">
        <f>ROUND(1116/E416,2)</f>
        <v>10.15</v>
      </c>
    </row>
    <row r="417" spans="1:8" s="13" customFormat="1" ht="8.1" customHeight="1">
      <c r="A417" s="101">
        <v>311</v>
      </c>
      <c r="B417" s="92" t="s">
        <v>790</v>
      </c>
      <c r="C417" s="20" t="s">
        <v>267</v>
      </c>
      <c r="D417" s="75">
        <f>4038.8+4464</f>
        <v>8502.7999999999993</v>
      </c>
      <c r="E417" s="89">
        <f>72+71</f>
        <v>143</v>
      </c>
      <c r="F417" s="107">
        <f t="shared" si="65"/>
        <v>14.87</v>
      </c>
      <c r="G417" s="76">
        <f>ROUND((451.2+469.47)/E417,2)</f>
        <v>6.44</v>
      </c>
      <c r="H417" s="65">
        <f>ROUND((1009.71+1116)/E417,2)</f>
        <v>14.87</v>
      </c>
    </row>
    <row r="418" spans="1:8" s="13" customFormat="1" ht="8.1" customHeight="1">
      <c r="A418" s="101"/>
      <c r="B418" s="93"/>
      <c r="C418" s="23" t="s">
        <v>320</v>
      </c>
      <c r="D418" s="75" t="e">
        <f>#REF!+#REF!</f>
        <v>#REF!</v>
      </c>
      <c r="E418" s="89"/>
      <c r="F418" s="107" t="e">
        <f t="shared" si="65"/>
        <v>#REF!</v>
      </c>
      <c r="G418" s="76" t="e">
        <f t="shared" si="71"/>
        <v>#DIV/0!</v>
      </c>
      <c r="H418" s="65"/>
    </row>
    <row r="419" spans="1:8" s="13" customFormat="1" ht="15.95" customHeight="1">
      <c r="A419" s="27">
        <v>312</v>
      </c>
      <c r="B419" s="49" t="s">
        <v>323</v>
      </c>
      <c r="C419" s="16" t="s">
        <v>263</v>
      </c>
      <c r="D419" s="17">
        <v>3590</v>
      </c>
      <c r="E419" s="28">
        <v>53</v>
      </c>
      <c r="F419" s="18">
        <f t="shared" si="65"/>
        <v>16.93</v>
      </c>
      <c r="G419" s="26">
        <f t="shared" ref="G419" si="72">ROUND(441.63/E419,2)</f>
        <v>8.33</v>
      </c>
      <c r="H419" s="45">
        <f>ROUND(897.51/E419,2)</f>
        <v>16.93</v>
      </c>
    </row>
    <row r="420" spans="1:8" s="13" customFormat="1" ht="15.95" customHeight="1">
      <c r="A420" s="27">
        <v>313</v>
      </c>
      <c r="B420" s="49" t="s">
        <v>324</v>
      </c>
      <c r="C420" s="16" t="s">
        <v>316</v>
      </c>
      <c r="D420" s="17">
        <v>4038.8</v>
      </c>
      <c r="E420" s="28">
        <v>74</v>
      </c>
      <c r="F420" s="18">
        <f t="shared" si="65"/>
        <v>13.64</v>
      </c>
      <c r="G420" s="26">
        <f>ROUND(441.63/E420,2)</f>
        <v>5.97</v>
      </c>
      <c r="H420" s="45">
        <f t="shared" si="66"/>
        <v>13.64</v>
      </c>
    </row>
    <row r="421" spans="1:8" s="13" customFormat="1" ht="15.95" customHeight="1">
      <c r="A421" s="27">
        <v>314</v>
      </c>
      <c r="B421" s="49" t="s">
        <v>325</v>
      </c>
      <c r="C421" s="16" t="s">
        <v>318</v>
      </c>
      <c r="D421" s="17">
        <v>4464</v>
      </c>
      <c r="E421" s="28">
        <v>90</v>
      </c>
      <c r="F421" s="18">
        <f t="shared" si="65"/>
        <v>12.4</v>
      </c>
      <c r="G421" s="19">
        <f>ROUND(451.2/E421,2)</f>
        <v>5.01</v>
      </c>
      <c r="H421" s="45">
        <f>ROUND(1116/E421,2)</f>
        <v>12.4</v>
      </c>
    </row>
    <row r="422" spans="1:8" s="13" customFormat="1" ht="15.95" customHeight="1">
      <c r="A422" s="27">
        <v>315</v>
      </c>
      <c r="B422" s="49" t="s">
        <v>326</v>
      </c>
      <c r="C422" s="16" t="s">
        <v>316</v>
      </c>
      <c r="D422" s="17">
        <v>4038.8</v>
      </c>
      <c r="E422" s="28">
        <v>72</v>
      </c>
      <c r="F422" s="18">
        <f t="shared" si="65"/>
        <v>14.02</v>
      </c>
      <c r="G422" s="26">
        <f t="shared" ref="G422:G423" si="73">ROUND(441.63/E422,2)</f>
        <v>6.13</v>
      </c>
      <c r="H422" s="45">
        <f t="shared" si="66"/>
        <v>14.02</v>
      </c>
    </row>
    <row r="423" spans="1:8" s="13" customFormat="1" ht="15.95" customHeight="1">
      <c r="A423" s="27">
        <v>316</v>
      </c>
      <c r="B423" s="49" t="s">
        <v>327</v>
      </c>
      <c r="C423" s="16" t="s">
        <v>316</v>
      </c>
      <c r="D423" s="17">
        <v>4038.8</v>
      </c>
      <c r="E423" s="28">
        <v>93</v>
      </c>
      <c r="F423" s="18">
        <f t="shared" si="65"/>
        <v>10.86</v>
      </c>
      <c r="G423" s="26">
        <f t="shared" si="73"/>
        <v>4.75</v>
      </c>
      <c r="H423" s="45">
        <f t="shared" si="66"/>
        <v>10.86</v>
      </c>
    </row>
    <row r="424" spans="1:8" s="13" customFormat="1" ht="15.95" customHeight="1">
      <c r="A424" s="27">
        <v>317</v>
      </c>
      <c r="B424" s="49" t="s">
        <v>328</v>
      </c>
      <c r="C424" s="16" t="s">
        <v>320</v>
      </c>
      <c r="D424" s="17">
        <v>4464</v>
      </c>
      <c r="E424" s="28">
        <v>107</v>
      </c>
      <c r="F424" s="18">
        <f t="shared" si="65"/>
        <v>10.43</v>
      </c>
      <c r="G424" s="26">
        <f>ROUND(451.2/E424,2)</f>
        <v>4.22</v>
      </c>
      <c r="H424" s="45">
        <f>ROUND(1116/E424,2)</f>
        <v>10.43</v>
      </c>
    </row>
    <row r="425" spans="1:8" s="13" customFormat="1" ht="15.95" customHeight="1">
      <c r="A425" s="27">
        <v>318</v>
      </c>
      <c r="B425" s="49" t="s">
        <v>329</v>
      </c>
      <c r="C425" s="16" t="s">
        <v>330</v>
      </c>
      <c r="D425" s="17">
        <v>4038.8</v>
      </c>
      <c r="E425" s="28">
        <v>120</v>
      </c>
      <c r="F425" s="18">
        <f t="shared" si="65"/>
        <v>8.41</v>
      </c>
      <c r="G425" s="26">
        <f t="shared" ref="G425:G426" si="74">ROUND(441.63/E425,2)</f>
        <v>3.68</v>
      </c>
      <c r="H425" s="45">
        <f t="shared" si="66"/>
        <v>8.41</v>
      </c>
    </row>
    <row r="426" spans="1:8" s="13" customFormat="1" ht="15.95" customHeight="1">
      <c r="A426" s="27">
        <v>319</v>
      </c>
      <c r="B426" s="49" t="s">
        <v>331</v>
      </c>
      <c r="C426" s="16" t="s">
        <v>330</v>
      </c>
      <c r="D426" s="17">
        <v>4038.8</v>
      </c>
      <c r="E426" s="28">
        <v>98</v>
      </c>
      <c r="F426" s="18">
        <f t="shared" si="65"/>
        <v>10.3</v>
      </c>
      <c r="G426" s="26">
        <f t="shared" si="74"/>
        <v>4.51</v>
      </c>
      <c r="H426" s="45">
        <f t="shared" si="66"/>
        <v>10.3</v>
      </c>
    </row>
    <row r="427" spans="1:8" s="13" customFormat="1" ht="15.95" customHeight="1">
      <c r="A427" s="27">
        <v>320</v>
      </c>
      <c r="B427" s="49" t="s">
        <v>332</v>
      </c>
      <c r="C427" s="53" t="s">
        <v>333</v>
      </c>
      <c r="D427" s="17">
        <v>3590</v>
      </c>
      <c r="E427" s="28">
        <v>75</v>
      </c>
      <c r="F427" s="18">
        <f t="shared" si="65"/>
        <v>11.97</v>
      </c>
      <c r="G427" s="26">
        <f>ROUND(441.63/E427,2)</f>
        <v>5.89</v>
      </c>
      <c r="H427" s="45">
        <f>ROUND(897.51/E427,2)</f>
        <v>11.97</v>
      </c>
    </row>
    <row r="428" spans="1:8" s="13" customFormat="1" ht="15.95" customHeight="1">
      <c r="A428" s="27">
        <v>321</v>
      </c>
      <c r="B428" s="49" t="s">
        <v>334</v>
      </c>
      <c r="C428" s="16" t="s">
        <v>330</v>
      </c>
      <c r="D428" s="17">
        <v>4038.8</v>
      </c>
      <c r="E428" s="28">
        <v>80</v>
      </c>
      <c r="F428" s="18">
        <f t="shared" si="65"/>
        <v>12.62</v>
      </c>
      <c r="G428" s="26">
        <f t="shared" ref="G428:G429" si="75">ROUND(441.63/E428,2)</f>
        <v>5.52</v>
      </c>
      <c r="H428" s="45">
        <f t="shared" si="66"/>
        <v>12.62</v>
      </c>
    </row>
    <row r="429" spans="1:8" s="13" customFormat="1" ht="15.95" customHeight="1">
      <c r="A429" s="27">
        <v>322</v>
      </c>
      <c r="B429" s="49" t="s">
        <v>335</v>
      </c>
      <c r="C429" s="16" t="s">
        <v>330</v>
      </c>
      <c r="D429" s="17">
        <v>4038.8</v>
      </c>
      <c r="E429" s="28">
        <v>74</v>
      </c>
      <c r="F429" s="18">
        <f t="shared" si="65"/>
        <v>13.64</v>
      </c>
      <c r="G429" s="26">
        <f t="shared" si="75"/>
        <v>5.97</v>
      </c>
      <c r="H429" s="45">
        <f t="shared" si="66"/>
        <v>13.64</v>
      </c>
    </row>
    <row r="430" spans="1:8" s="13" customFormat="1" ht="15.95" customHeight="1">
      <c r="A430" s="27">
        <v>323</v>
      </c>
      <c r="B430" s="49" t="s">
        <v>336</v>
      </c>
      <c r="C430" s="16" t="s">
        <v>320</v>
      </c>
      <c r="D430" s="17">
        <v>4464</v>
      </c>
      <c r="E430" s="28">
        <v>108</v>
      </c>
      <c r="F430" s="18">
        <f t="shared" si="65"/>
        <v>10.33</v>
      </c>
      <c r="G430" s="26">
        <f>ROUND(451.2/E430,2)</f>
        <v>4.18</v>
      </c>
      <c r="H430" s="45">
        <f>ROUND(1116/E430,2)</f>
        <v>10.33</v>
      </c>
    </row>
    <row r="431" spans="1:8" s="13" customFormat="1" ht="15.95" customHeight="1">
      <c r="A431" s="27">
        <v>324</v>
      </c>
      <c r="B431" s="49" t="s">
        <v>337</v>
      </c>
      <c r="C431" s="16" t="s">
        <v>338</v>
      </c>
      <c r="D431" s="17">
        <v>4038.8</v>
      </c>
      <c r="E431" s="28">
        <v>119</v>
      </c>
      <c r="F431" s="18">
        <f t="shared" si="65"/>
        <v>8.48</v>
      </c>
      <c r="G431" s="26">
        <f>ROUND(469.47/E431,2)</f>
        <v>3.95</v>
      </c>
      <c r="H431" s="45">
        <f t="shared" si="66"/>
        <v>8.48</v>
      </c>
    </row>
    <row r="432" spans="1:8" s="13" customFormat="1" ht="15.95" customHeight="1">
      <c r="A432" s="27">
        <v>325</v>
      </c>
      <c r="B432" s="49" t="s">
        <v>339</v>
      </c>
      <c r="C432" s="16" t="s">
        <v>320</v>
      </c>
      <c r="D432" s="17">
        <v>4464</v>
      </c>
      <c r="E432" s="28">
        <v>34</v>
      </c>
      <c r="F432" s="18">
        <f t="shared" si="65"/>
        <v>32.82</v>
      </c>
      <c r="G432" s="26">
        <f t="shared" ref="G432:G433" si="76">ROUND(451.2/E432,2)</f>
        <v>13.27</v>
      </c>
      <c r="H432" s="45">
        <f>ROUND(1116/E432,2)</f>
        <v>32.82</v>
      </c>
    </row>
    <row r="433" spans="1:8" s="13" customFormat="1" ht="15.95" customHeight="1">
      <c r="A433" s="27">
        <v>326</v>
      </c>
      <c r="B433" s="49" t="s">
        <v>340</v>
      </c>
      <c r="C433" s="16" t="s">
        <v>320</v>
      </c>
      <c r="D433" s="17">
        <v>4464</v>
      </c>
      <c r="E433" s="28">
        <v>117</v>
      </c>
      <c r="F433" s="18">
        <f t="shared" si="65"/>
        <v>9.5399999999999991</v>
      </c>
      <c r="G433" s="26">
        <f t="shared" si="76"/>
        <v>3.86</v>
      </c>
      <c r="H433" s="45">
        <f>ROUND(1116/E433,2)</f>
        <v>9.5399999999999991</v>
      </c>
    </row>
    <row r="434" spans="1:8" s="13" customFormat="1" ht="15.95" customHeight="1">
      <c r="A434" s="27">
        <v>327</v>
      </c>
      <c r="B434" s="49" t="s">
        <v>341</v>
      </c>
      <c r="C434" s="16" t="s">
        <v>342</v>
      </c>
      <c r="D434" s="17">
        <v>4851.6000000000004</v>
      </c>
      <c r="E434" s="28">
        <v>159</v>
      </c>
      <c r="F434" s="18">
        <f t="shared" si="65"/>
        <v>7.63</v>
      </c>
      <c r="G434" s="19">
        <f>ROUND(452.88/E434,2)</f>
        <v>2.85</v>
      </c>
      <c r="H434" s="45">
        <f>ROUND(1212.9/E434,2)</f>
        <v>7.63</v>
      </c>
    </row>
    <row r="435" spans="1:8" s="13" customFormat="1" ht="15.95" customHeight="1">
      <c r="A435" s="27">
        <v>328</v>
      </c>
      <c r="B435" s="49" t="s">
        <v>343</v>
      </c>
      <c r="C435" s="16" t="s">
        <v>311</v>
      </c>
      <c r="D435" s="17">
        <v>4851.6000000000004</v>
      </c>
      <c r="E435" s="28">
        <v>152</v>
      </c>
      <c r="F435" s="18">
        <f t="shared" si="65"/>
        <v>7.98</v>
      </c>
      <c r="G435" s="19">
        <f>ROUND(452.88/E435,2)</f>
        <v>2.98</v>
      </c>
      <c r="H435" s="45">
        <f>ROUND(1212.9/E435,2)</f>
        <v>7.98</v>
      </c>
    </row>
    <row r="436" spans="1:8" s="13" customFormat="1" ht="15.95" customHeight="1">
      <c r="A436" s="27">
        <v>329</v>
      </c>
      <c r="B436" s="49" t="s">
        <v>344</v>
      </c>
      <c r="C436" s="16" t="s">
        <v>342</v>
      </c>
      <c r="D436" s="17">
        <v>4851.6000000000004</v>
      </c>
      <c r="E436" s="28">
        <v>151</v>
      </c>
      <c r="F436" s="18">
        <f t="shared" si="65"/>
        <v>8.0299999999999994</v>
      </c>
      <c r="G436" s="19">
        <f>ROUND(452.88/E436,2)</f>
        <v>3</v>
      </c>
      <c r="H436" s="45">
        <f>ROUND(1212.9/E436,2)</f>
        <v>8.0299999999999994</v>
      </c>
    </row>
    <row r="437" spans="1:8" s="13" customFormat="1" ht="8.1" customHeight="1">
      <c r="A437" s="101">
        <v>330</v>
      </c>
      <c r="B437" s="105" t="s">
        <v>791</v>
      </c>
      <c r="C437" s="20" t="s">
        <v>330</v>
      </c>
      <c r="D437" s="69">
        <f>4038.8+3590</f>
        <v>7628.8</v>
      </c>
      <c r="E437" s="71">
        <v>52</v>
      </c>
      <c r="F437" s="73">
        <f t="shared" si="65"/>
        <v>36.68</v>
      </c>
      <c r="G437" s="76">
        <f>ROUND(441.63*2/E437,2)</f>
        <v>16.989999999999998</v>
      </c>
      <c r="H437" s="65">
        <f>ROUND((897.51+1009.71)/E437,2)</f>
        <v>36.68</v>
      </c>
    </row>
    <row r="438" spans="1:8" s="13" customFormat="1" ht="8.1" customHeight="1">
      <c r="A438" s="101"/>
      <c r="B438" s="105"/>
      <c r="C438" s="23" t="s">
        <v>345</v>
      </c>
      <c r="D438" s="70" t="e">
        <f>#REF!+#REF!</f>
        <v>#REF!</v>
      </c>
      <c r="E438" s="72"/>
      <c r="F438" s="74" t="e">
        <f t="shared" si="65"/>
        <v>#REF!</v>
      </c>
      <c r="G438" s="76" t="e">
        <f t="shared" si="71"/>
        <v>#DIV/0!</v>
      </c>
      <c r="H438" s="65"/>
    </row>
    <row r="439" spans="1:8" s="13" customFormat="1" ht="15.95" customHeight="1">
      <c r="A439" s="27">
        <v>331</v>
      </c>
      <c r="B439" s="49" t="s">
        <v>346</v>
      </c>
      <c r="C439" s="16" t="s">
        <v>320</v>
      </c>
      <c r="D439" s="17">
        <v>4464</v>
      </c>
      <c r="E439" s="28">
        <v>119</v>
      </c>
      <c r="F439" s="18">
        <f t="shared" si="65"/>
        <v>9.3800000000000008</v>
      </c>
      <c r="G439" s="26">
        <f t="shared" ref="G439:G440" si="77">ROUND(451.2/E439,2)</f>
        <v>3.79</v>
      </c>
      <c r="H439" s="45">
        <f>ROUND(1116/E439,2)</f>
        <v>9.3800000000000008</v>
      </c>
    </row>
    <row r="440" spans="1:8" s="13" customFormat="1" ht="15.95" customHeight="1">
      <c r="A440" s="27">
        <v>332</v>
      </c>
      <c r="B440" s="49" t="s">
        <v>347</v>
      </c>
      <c r="C440" s="16" t="s">
        <v>320</v>
      </c>
      <c r="D440" s="17">
        <v>4464</v>
      </c>
      <c r="E440" s="28">
        <v>107</v>
      </c>
      <c r="F440" s="18">
        <f t="shared" si="65"/>
        <v>10.43</v>
      </c>
      <c r="G440" s="26">
        <f t="shared" si="77"/>
        <v>4.22</v>
      </c>
      <c r="H440" s="45">
        <f>ROUND(1116/E440,2)</f>
        <v>10.43</v>
      </c>
    </row>
    <row r="441" spans="1:8" s="13" customFormat="1" ht="15.95" customHeight="1">
      <c r="A441" s="27">
        <v>333</v>
      </c>
      <c r="B441" s="49" t="s">
        <v>348</v>
      </c>
      <c r="C441" s="16" t="s">
        <v>330</v>
      </c>
      <c r="D441" s="17">
        <v>4038.8</v>
      </c>
      <c r="E441" s="28">
        <v>71</v>
      </c>
      <c r="F441" s="18">
        <f t="shared" si="65"/>
        <v>14.22</v>
      </c>
      <c r="G441" s="26">
        <f>ROUND(441.63/E441,2)</f>
        <v>6.22</v>
      </c>
      <c r="H441" s="45">
        <f t="shared" si="66"/>
        <v>14.22</v>
      </c>
    </row>
    <row r="442" spans="1:8" s="13" customFormat="1" ht="2.25" customHeight="1">
      <c r="A442" s="90">
        <v>334</v>
      </c>
      <c r="B442" s="95" t="s">
        <v>792</v>
      </c>
      <c r="C442" s="20" t="s">
        <v>345</v>
      </c>
      <c r="D442" s="82">
        <f>3590*6+6410.8</f>
        <v>27950.799999999999</v>
      </c>
      <c r="E442" s="108">
        <f>54+54+55+55+49+49</f>
        <v>316</v>
      </c>
      <c r="F442" s="111">
        <f t="shared" si="65"/>
        <v>22.11</v>
      </c>
      <c r="G442" s="112">
        <f>ROUND((441.63*6+705.6)/E442,2)</f>
        <v>10.62</v>
      </c>
      <c r="H442" s="65">
        <f>ROUND((897.51*6+1602.69)/E442,2)</f>
        <v>22.11</v>
      </c>
    </row>
    <row r="443" spans="1:8" s="13" customFormat="1" ht="2.25" customHeight="1">
      <c r="A443" s="94"/>
      <c r="B443" s="96"/>
      <c r="C443" s="22" t="s">
        <v>345</v>
      </c>
      <c r="D443" s="83" t="e">
        <f>#REF!+#REF!</f>
        <v>#REF!</v>
      </c>
      <c r="E443" s="109"/>
      <c r="F443" s="111" t="e">
        <f t="shared" si="65"/>
        <v>#REF!</v>
      </c>
      <c r="G443" s="112" t="e">
        <f t="shared" si="71"/>
        <v>#DIV/0!</v>
      </c>
      <c r="H443" s="65"/>
    </row>
    <row r="444" spans="1:8" s="13" customFormat="1" ht="2.25" customHeight="1">
      <c r="A444" s="94"/>
      <c r="B444" s="96"/>
      <c r="C444" s="22" t="s">
        <v>345</v>
      </c>
      <c r="D444" s="83" t="e">
        <f>#REF!+#REF!</f>
        <v>#REF!</v>
      </c>
      <c r="E444" s="109"/>
      <c r="F444" s="111" t="e">
        <f t="shared" si="65"/>
        <v>#REF!</v>
      </c>
      <c r="G444" s="112" t="e">
        <f t="shared" si="71"/>
        <v>#DIV/0!</v>
      </c>
      <c r="H444" s="65"/>
    </row>
    <row r="445" spans="1:8" s="13" customFormat="1" ht="2.25" customHeight="1">
      <c r="A445" s="94"/>
      <c r="B445" s="96"/>
      <c r="C445" s="22" t="s">
        <v>345</v>
      </c>
      <c r="D445" s="83" t="e">
        <f>#REF!+#REF!</f>
        <v>#REF!</v>
      </c>
      <c r="E445" s="109"/>
      <c r="F445" s="111" t="e">
        <f t="shared" si="65"/>
        <v>#REF!</v>
      </c>
      <c r="G445" s="112" t="e">
        <f t="shared" si="71"/>
        <v>#DIV/0!</v>
      </c>
      <c r="H445" s="65"/>
    </row>
    <row r="446" spans="1:8" s="13" customFormat="1" ht="2.25" customHeight="1">
      <c r="A446" s="94"/>
      <c r="B446" s="96"/>
      <c r="C446" s="22" t="s">
        <v>345</v>
      </c>
      <c r="D446" s="83" t="e">
        <f>#REF!+#REF!</f>
        <v>#REF!</v>
      </c>
      <c r="E446" s="109"/>
      <c r="F446" s="111" t="e">
        <f t="shared" si="65"/>
        <v>#REF!</v>
      </c>
      <c r="G446" s="112" t="e">
        <f t="shared" si="71"/>
        <v>#DIV/0!</v>
      </c>
      <c r="H446" s="65"/>
    </row>
    <row r="447" spans="1:8" s="13" customFormat="1" ht="2.25" customHeight="1">
      <c r="A447" s="94"/>
      <c r="B447" s="96"/>
      <c r="C447" s="22" t="s">
        <v>345</v>
      </c>
      <c r="D447" s="83" t="e">
        <f>#REF!+#REF!</f>
        <v>#REF!</v>
      </c>
      <c r="E447" s="109"/>
      <c r="F447" s="111" t="e">
        <f t="shared" si="65"/>
        <v>#REF!</v>
      </c>
      <c r="G447" s="112" t="e">
        <f t="shared" si="71"/>
        <v>#DIV/0!</v>
      </c>
      <c r="H447" s="65"/>
    </row>
    <row r="448" spans="1:8" s="13" customFormat="1" ht="2.25" customHeight="1">
      <c r="A448" s="94"/>
      <c r="B448" s="97"/>
      <c r="C448" s="23" t="s">
        <v>349</v>
      </c>
      <c r="D448" s="84" t="e">
        <f>#REF!+#REF!</f>
        <v>#REF!</v>
      </c>
      <c r="E448" s="110">
        <f>54+54+55+55+49+49</f>
        <v>316</v>
      </c>
      <c r="F448" s="111" t="e">
        <f t="shared" si="65"/>
        <v>#REF!</v>
      </c>
      <c r="G448" s="112">
        <f t="shared" si="71"/>
        <v>1.62</v>
      </c>
      <c r="H448" s="65"/>
    </row>
    <row r="449" spans="1:8" s="13" customFormat="1" ht="15.95" customHeight="1">
      <c r="A449" s="27">
        <v>335</v>
      </c>
      <c r="B449" s="49" t="s">
        <v>350</v>
      </c>
      <c r="C449" s="16" t="s">
        <v>311</v>
      </c>
      <c r="D449" s="17">
        <v>4851.6000000000004</v>
      </c>
      <c r="E449" s="28">
        <v>134</v>
      </c>
      <c r="F449" s="18">
        <f t="shared" si="65"/>
        <v>9.0500000000000007</v>
      </c>
      <c r="G449" s="19">
        <f>ROUND(452.88/E449,2)</f>
        <v>3.38</v>
      </c>
      <c r="H449" s="45">
        <f>ROUND(1212.9/E449,2)</f>
        <v>9.0500000000000007</v>
      </c>
    </row>
    <row r="450" spans="1:8" s="13" customFormat="1" ht="15.95" customHeight="1">
      <c r="A450" s="27">
        <v>336</v>
      </c>
      <c r="B450" s="49" t="s">
        <v>351</v>
      </c>
      <c r="C450" s="16" t="s">
        <v>320</v>
      </c>
      <c r="D450" s="17">
        <v>4464</v>
      </c>
      <c r="E450" s="28">
        <v>110</v>
      </c>
      <c r="F450" s="18">
        <f t="shared" si="65"/>
        <v>10.15</v>
      </c>
      <c r="G450" s="26">
        <f>ROUND(451.2/E450,2)</f>
        <v>4.0999999999999996</v>
      </c>
      <c r="H450" s="45">
        <f>ROUND(1116/E450,2)</f>
        <v>10.15</v>
      </c>
    </row>
    <row r="451" spans="1:8" s="13" customFormat="1" ht="15.95" customHeight="1">
      <c r="A451" s="27">
        <v>337</v>
      </c>
      <c r="B451" s="49" t="s">
        <v>352</v>
      </c>
      <c r="C451" s="16" t="s">
        <v>330</v>
      </c>
      <c r="D451" s="17">
        <v>4038.8</v>
      </c>
      <c r="E451" s="28">
        <v>72</v>
      </c>
      <c r="F451" s="18">
        <f t="shared" si="65"/>
        <v>14.02</v>
      </c>
      <c r="G451" s="26">
        <f>ROUND(441.63/E451,2)</f>
        <v>6.13</v>
      </c>
      <c r="H451" s="45">
        <f t="shared" si="66"/>
        <v>14.02</v>
      </c>
    </row>
    <row r="452" spans="1:8" s="13" customFormat="1" ht="15.95" customHeight="1">
      <c r="A452" s="27">
        <v>338</v>
      </c>
      <c r="B452" s="49" t="s">
        <v>353</v>
      </c>
      <c r="C452" s="16" t="s">
        <v>320</v>
      </c>
      <c r="D452" s="17">
        <v>4464</v>
      </c>
      <c r="E452" s="28">
        <v>120</v>
      </c>
      <c r="F452" s="18">
        <f t="shared" si="65"/>
        <v>9.3000000000000007</v>
      </c>
      <c r="G452" s="26">
        <f>ROUND(451.2/E452,2)</f>
        <v>3.76</v>
      </c>
      <c r="H452" s="45">
        <f>ROUND(1116/E452,2)</f>
        <v>9.3000000000000007</v>
      </c>
    </row>
    <row r="453" spans="1:8" s="13" customFormat="1" ht="15.95" customHeight="1">
      <c r="A453" s="27">
        <v>339</v>
      </c>
      <c r="B453" s="49" t="s">
        <v>354</v>
      </c>
      <c r="C453" s="16" t="s">
        <v>311</v>
      </c>
      <c r="D453" s="17">
        <v>4851.6000000000004</v>
      </c>
      <c r="E453" s="28">
        <v>164</v>
      </c>
      <c r="F453" s="18">
        <f t="shared" si="65"/>
        <v>7.4</v>
      </c>
      <c r="G453" s="19">
        <f t="shared" ref="G453:G454" si="78">ROUND(452.88/E453,2)</f>
        <v>2.76</v>
      </c>
      <c r="H453" s="45">
        <f>ROUND(1212.9/E453,2)</f>
        <v>7.4</v>
      </c>
    </row>
    <row r="454" spans="1:8" s="13" customFormat="1" ht="15.95" customHeight="1">
      <c r="A454" s="27">
        <v>340</v>
      </c>
      <c r="B454" s="49" t="s">
        <v>355</v>
      </c>
      <c r="C454" s="16" t="s">
        <v>311</v>
      </c>
      <c r="D454" s="17">
        <v>4851.6000000000004</v>
      </c>
      <c r="E454" s="28">
        <v>269</v>
      </c>
      <c r="F454" s="18">
        <f t="shared" si="65"/>
        <v>4.51</v>
      </c>
      <c r="G454" s="19">
        <f t="shared" si="78"/>
        <v>1.68</v>
      </c>
      <c r="H454" s="45">
        <f>ROUND(1212.9/E454,2)</f>
        <v>4.51</v>
      </c>
    </row>
    <row r="455" spans="1:8" s="13" customFormat="1" ht="8.1" customHeight="1">
      <c r="A455" s="101">
        <v>341</v>
      </c>
      <c r="B455" s="92" t="s">
        <v>793</v>
      </c>
      <c r="C455" s="20" t="s">
        <v>356</v>
      </c>
      <c r="D455" s="75">
        <f>3590+4038.8</f>
        <v>7628.8</v>
      </c>
      <c r="E455" s="89">
        <f>50+101</f>
        <v>151</v>
      </c>
      <c r="F455" s="107">
        <f t="shared" si="65"/>
        <v>12.63</v>
      </c>
      <c r="G455" s="76">
        <f>ROUND(469.47*2/E455,2)</f>
        <v>6.22</v>
      </c>
      <c r="H455" s="65">
        <f>ROUND((897.51+1009.71)/E455,2)</f>
        <v>12.63</v>
      </c>
    </row>
    <row r="456" spans="1:8" s="13" customFormat="1" ht="8.1" customHeight="1">
      <c r="A456" s="101"/>
      <c r="B456" s="93"/>
      <c r="C456" s="23" t="s">
        <v>357</v>
      </c>
      <c r="D456" s="75" t="e">
        <f>#REF!+#REF!</f>
        <v>#REF!</v>
      </c>
      <c r="E456" s="89"/>
      <c r="F456" s="107" t="e">
        <f t="shared" si="65"/>
        <v>#REF!</v>
      </c>
      <c r="G456" s="76" t="e">
        <f t="shared" si="71"/>
        <v>#DIV/0!</v>
      </c>
      <c r="H456" s="65"/>
    </row>
    <row r="457" spans="1:8" s="13" customFormat="1" ht="15.95" customHeight="1">
      <c r="A457" s="27">
        <v>342</v>
      </c>
      <c r="B457" s="49" t="s">
        <v>358</v>
      </c>
      <c r="C457" s="16" t="s">
        <v>330</v>
      </c>
      <c r="D457" s="17">
        <v>4038.8</v>
      </c>
      <c r="E457" s="28">
        <f>20+26</f>
        <v>46</v>
      </c>
      <c r="F457" s="18">
        <f t="shared" si="65"/>
        <v>21.95</v>
      </c>
      <c r="G457" s="26">
        <f>ROUND(441.63/E457,2)</f>
        <v>9.6</v>
      </c>
      <c r="H457" s="45">
        <f t="shared" si="66"/>
        <v>21.95</v>
      </c>
    </row>
    <row r="458" spans="1:8" s="13" customFormat="1" ht="15.95" customHeight="1">
      <c r="A458" s="27">
        <v>343</v>
      </c>
      <c r="B458" s="49" t="s">
        <v>359</v>
      </c>
      <c r="C458" s="16" t="s">
        <v>360</v>
      </c>
      <c r="D458" s="17">
        <v>4038.8</v>
      </c>
      <c r="E458" s="28">
        <v>55</v>
      </c>
      <c r="F458" s="18">
        <f t="shared" si="65"/>
        <v>18.36</v>
      </c>
      <c r="G458" s="26">
        <f>ROUND(469.47/E458,2)</f>
        <v>8.5399999999999991</v>
      </c>
      <c r="H458" s="45">
        <f t="shared" ref="H458:H512" si="79">ROUND(1009.71/E458,2)</f>
        <v>18.36</v>
      </c>
    </row>
    <row r="459" spans="1:8" s="13" customFormat="1" ht="15.95" customHeight="1">
      <c r="A459" s="27">
        <v>344</v>
      </c>
      <c r="B459" s="49" t="s">
        <v>361</v>
      </c>
      <c r="C459" s="16" t="s">
        <v>362</v>
      </c>
      <c r="D459" s="17">
        <v>4464</v>
      </c>
      <c r="E459" s="28">
        <v>172</v>
      </c>
      <c r="F459" s="18">
        <f t="shared" si="65"/>
        <v>6.49</v>
      </c>
      <c r="G459" s="26">
        <f>ROUND(482.49/E459,2)</f>
        <v>2.81</v>
      </c>
      <c r="H459" s="45">
        <f>ROUND(1116/E459,2)</f>
        <v>6.49</v>
      </c>
    </row>
    <row r="460" spans="1:8" s="13" customFormat="1" ht="15.95" customHeight="1">
      <c r="A460" s="27">
        <v>345</v>
      </c>
      <c r="B460" s="49" t="s">
        <v>363</v>
      </c>
      <c r="C460" s="53" t="s">
        <v>333</v>
      </c>
      <c r="D460" s="17">
        <v>3590</v>
      </c>
      <c r="E460" s="28">
        <v>69</v>
      </c>
      <c r="F460" s="18">
        <f t="shared" si="65"/>
        <v>13.01</v>
      </c>
      <c r="G460" s="26">
        <f>ROUND(441.63/E460,2)</f>
        <v>6.4</v>
      </c>
      <c r="H460" s="45">
        <f>ROUND(897.51/E460,2)</f>
        <v>13.01</v>
      </c>
    </row>
    <row r="461" spans="1:8" s="13" customFormat="1" ht="15.95" customHeight="1">
      <c r="A461" s="27">
        <v>346</v>
      </c>
      <c r="B461" s="49" t="s">
        <v>364</v>
      </c>
      <c r="C461" s="16" t="s">
        <v>320</v>
      </c>
      <c r="D461" s="17">
        <v>4464</v>
      </c>
      <c r="E461" s="28">
        <v>105</v>
      </c>
      <c r="F461" s="18">
        <f t="shared" ref="F461:F466" si="80">ROUND(D461/E461/4,2)</f>
        <v>10.63</v>
      </c>
      <c r="G461" s="26">
        <f>ROUND(451.2/E461,2)</f>
        <v>4.3</v>
      </c>
      <c r="H461" s="45">
        <f>ROUND(1116/E461,2)</f>
        <v>10.63</v>
      </c>
    </row>
    <row r="462" spans="1:8" s="13" customFormat="1" ht="15.95" customHeight="1">
      <c r="A462" s="27">
        <v>347</v>
      </c>
      <c r="B462" s="49" t="s">
        <v>365</v>
      </c>
      <c r="C462" s="53" t="s">
        <v>300</v>
      </c>
      <c r="D462" s="17">
        <v>4464</v>
      </c>
      <c r="E462" s="28">
        <v>118</v>
      </c>
      <c r="F462" s="18">
        <f t="shared" si="80"/>
        <v>9.4600000000000009</v>
      </c>
      <c r="G462" s="19">
        <f>ROUND(482.49/E462,2)</f>
        <v>4.09</v>
      </c>
      <c r="H462" s="45">
        <f>ROUND(1116/E462,2)</f>
        <v>9.4600000000000009</v>
      </c>
    </row>
    <row r="463" spans="1:8" s="13" customFormat="1" ht="15.95" customHeight="1">
      <c r="A463" s="27">
        <v>348</v>
      </c>
      <c r="B463" s="49" t="s">
        <v>366</v>
      </c>
      <c r="C463" s="16" t="s">
        <v>320</v>
      </c>
      <c r="D463" s="17">
        <v>4464</v>
      </c>
      <c r="E463" s="28">
        <v>118</v>
      </c>
      <c r="F463" s="18">
        <f t="shared" si="80"/>
        <v>9.4600000000000009</v>
      </c>
      <c r="G463" s="26">
        <f>ROUND(451.2/E463,2)</f>
        <v>3.82</v>
      </c>
      <c r="H463" s="45">
        <f>ROUND(1116/E463,2)</f>
        <v>9.4600000000000009</v>
      </c>
    </row>
    <row r="464" spans="1:8" s="13" customFormat="1" ht="8.1" customHeight="1">
      <c r="A464" s="101">
        <v>349</v>
      </c>
      <c r="B464" s="92" t="s">
        <v>794</v>
      </c>
      <c r="C464" s="20" t="s">
        <v>367</v>
      </c>
      <c r="D464" s="69">
        <f>2702.6*2</f>
        <v>5405.2</v>
      </c>
      <c r="E464" s="71">
        <f>63+71</f>
        <v>134</v>
      </c>
      <c r="F464" s="73">
        <f t="shared" si="80"/>
        <v>10.08</v>
      </c>
      <c r="G464" s="76">
        <f>ROUND(467.97*2/E464,2)</f>
        <v>6.98</v>
      </c>
      <c r="H464" s="65">
        <f>ROUND(675.66*2/E464,2)</f>
        <v>10.08</v>
      </c>
    </row>
    <row r="465" spans="1:8" s="13" customFormat="1" ht="8.1" customHeight="1">
      <c r="A465" s="101"/>
      <c r="B465" s="93"/>
      <c r="C465" s="23" t="s">
        <v>367</v>
      </c>
      <c r="D465" s="70" t="e">
        <f>#REF!+#REF!</f>
        <v>#REF!</v>
      </c>
      <c r="E465" s="72"/>
      <c r="F465" s="74" t="e">
        <f t="shared" si="80"/>
        <v>#REF!</v>
      </c>
      <c r="G465" s="76" t="e">
        <f t="shared" ref="G465" si="81">ROUND(512.79/E465,2)</f>
        <v>#DIV/0!</v>
      </c>
      <c r="H465" s="65"/>
    </row>
    <row r="466" spans="1:8" s="13" customFormat="1" ht="15.95" customHeight="1">
      <c r="A466" s="54">
        <v>350</v>
      </c>
      <c r="B466" s="49" t="s">
        <v>661</v>
      </c>
      <c r="C466" s="53" t="s">
        <v>368</v>
      </c>
      <c r="D466" s="17">
        <v>3590</v>
      </c>
      <c r="E466" s="28">
        <v>61</v>
      </c>
      <c r="F466" s="18">
        <f t="shared" si="80"/>
        <v>14.71</v>
      </c>
      <c r="G466" s="26">
        <f>ROUND(469.47/E466,2)</f>
        <v>7.7</v>
      </c>
      <c r="H466" s="45">
        <f>ROUND(897.51/E466,2)</f>
        <v>14.71</v>
      </c>
    </row>
    <row r="467" spans="1:8" s="13" customFormat="1" ht="5.45" customHeight="1">
      <c r="A467" s="101">
        <v>351</v>
      </c>
      <c r="B467" s="92" t="s">
        <v>715</v>
      </c>
      <c r="C467" s="20" t="s">
        <v>658</v>
      </c>
      <c r="D467" s="69">
        <f>4038.8*2+4464</f>
        <v>12541.6</v>
      </c>
      <c r="E467" s="71">
        <f>85+46+63</f>
        <v>194</v>
      </c>
      <c r="F467" s="73">
        <f>ROUND(D467/4/E467,2)</f>
        <v>16.16</v>
      </c>
      <c r="G467" s="76">
        <f>ROUND((441.63+451.2+469.47)/E467,2)</f>
        <v>7.02</v>
      </c>
      <c r="H467" s="65">
        <f>ROUND((1009.71*2+1116)/E467,2)</f>
        <v>16.16</v>
      </c>
    </row>
    <row r="468" spans="1:8" s="13" customFormat="1" ht="5.45" customHeight="1">
      <c r="A468" s="101"/>
      <c r="B468" s="98"/>
      <c r="C468" s="22" t="s">
        <v>659</v>
      </c>
      <c r="D468" s="77"/>
      <c r="E468" s="85"/>
      <c r="F468" s="81"/>
      <c r="G468" s="76"/>
      <c r="H468" s="65"/>
    </row>
    <row r="469" spans="1:8" s="13" customFormat="1" ht="5.45" customHeight="1">
      <c r="A469" s="101"/>
      <c r="B469" s="93"/>
      <c r="C469" s="52" t="s">
        <v>660</v>
      </c>
      <c r="D469" s="70"/>
      <c r="E469" s="72"/>
      <c r="F469" s="74"/>
      <c r="G469" s="76"/>
      <c r="H469" s="65"/>
    </row>
    <row r="470" spans="1:8" s="13" customFormat="1" ht="15.95" customHeight="1">
      <c r="A470" s="27">
        <v>352</v>
      </c>
      <c r="B470" s="49" t="s">
        <v>369</v>
      </c>
      <c r="C470" s="16" t="s">
        <v>263</v>
      </c>
      <c r="D470" s="17">
        <v>3590</v>
      </c>
      <c r="E470" s="28">
        <v>37</v>
      </c>
      <c r="F470" s="18">
        <f>ROUND(D470/4/E470,2)</f>
        <v>24.26</v>
      </c>
      <c r="G470" s="26">
        <f>ROUND(441.63/E470,2)</f>
        <v>11.94</v>
      </c>
      <c r="H470" s="45">
        <f>ROUND(897.51/E470,2)</f>
        <v>24.26</v>
      </c>
    </row>
    <row r="471" spans="1:8" s="13" customFormat="1" ht="15.95" customHeight="1">
      <c r="A471" s="27">
        <v>353</v>
      </c>
      <c r="B471" s="49" t="s">
        <v>370</v>
      </c>
      <c r="C471" s="16" t="s">
        <v>316</v>
      </c>
      <c r="D471" s="17">
        <v>4038.8</v>
      </c>
      <c r="E471" s="28">
        <v>74</v>
      </c>
      <c r="F471" s="18">
        <f>ROUND(D471/4/E471,2)</f>
        <v>13.64</v>
      </c>
      <c r="G471" s="26">
        <f t="shared" ref="G471" si="82">ROUND(441.63/E471,2)</f>
        <v>5.97</v>
      </c>
      <c r="H471" s="45">
        <f t="shared" si="79"/>
        <v>13.64</v>
      </c>
    </row>
    <row r="472" spans="1:8" s="13" customFormat="1" ht="5.45" customHeight="1">
      <c r="A472" s="90">
        <v>354</v>
      </c>
      <c r="B472" s="95" t="s">
        <v>795</v>
      </c>
      <c r="C472" s="20" t="s">
        <v>257</v>
      </c>
      <c r="D472" s="69">
        <f>3590*2+4464</f>
        <v>11644</v>
      </c>
      <c r="E472" s="71">
        <f>37+38+37+36</f>
        <v>148</v>
      </c>
      <c r="F472" s="73">
        <f>ROUND(D472/4/E472,2)</f>
        <v>19.670000000000002</v>
      </c>
      <c r="G472" s="76">
        <f>ROUND((441.63*2+451.2)/E472,2)</f>
        <v>9.02</v>
      </c>
      <c r="H472" s="65">
        <f>ROUND((897.51*2+1116)/E472,2)</f>
        <v>19.670000000000002</v>
      </c>
    </row>
    <row r="473" spans="1:8" s="13" customFormat="1" ht="5.45" customHeight="1">
      <c r="A473" s="94"/>
      <c r="B473" s="96"/>
      <c r="C473" s="22" t="s">
        <v>263</v>
      </c>
      <c r="D473" s="77"/>
      <c r="E473" s="85"/>
      <c r="F473" s="81"/>
      <c r="G473" s="76"/>
      <c r="H473" s="65"/>
    </row>
    <row r="474" spans="1:8" s="13" customFormat="1" ht="5.45" customHeight="1">
      <c r="A474" s="91"/>
      <c r="B474" s="97"/>
      <c r="C474" s="23" t="s">
        <v>320</v>
      </c>
      <c r="D474" s="70"/>
      <c r="E474" s="72"/>
      <c r="F474" s="74"/>
      <c r="G474" s="76"/>
      <c r="H474" s="65"/>
    </row>
    <row r="475" spans="1:8" s="13" customFormat="1" ht="15.95" customHeight="1">
      <c r="A475" s="27">
        <v>355</v>
      </c>
      <c r="B475" s="49" t="s">
        <v>796</v>
      </c>
      <c r="C475" s="16" t="s">
        <v>263</v>
      </c>
      <c r="D475" s="17">
        <v>3590</v>
      </c>
      <c r="E475" s="28">
        <f>36+35</f>
        <v>71</v>
      </c>
      <c r="F475" s="18">
        <f>ROUND(D475/4/E475,2)</f>
        <v>12.64</v>
      </c>
      <c r="G475" s="26">
        <f>ROUND(441.63/E475,2)</f>
        <v>6.22</v>
      </c>
      <c r="H475" s="45">
        <f>ROUND(897.51/E475,2)</f>
        <v>12.64</v>
      </c>
    </row>
    <row r="476" spans="1:8" s="13" customFormat="1" ht="16.5" customHeight="1">
      <c r="A476" s="27">
        <v>356</v>
      </c>
      <c r="B476" s="49" t="s">
        <v>371</v>
      </c>
      <c r="C476" s="16" t="s">
        <v>263</v>
      </c>
      <c r="D476" s="17">
        <v>3590</v>
      </c>
      <c r="E476" s="28">
        <v>43</v>
      </c>
      <c r="F476" s="18">
        <f>ROUND(D476/4/E476,2)</f>
        <v>20.87</v>
      </c>
      <c r="G476" s="26">
        <f>ROUND(441.63/E476,2)</f>
        <v>10.27</v>
      </c>
      <c r="H476" s="45">
        <f>ROUND(897.51/E476,2)</f>
        <v>20.87</v>
      </c>
    </row>
    <row r="477" spans="1:8" s="13" customFormat="1" ht="2.65" customHeight="1">
      <c r="A477" s="101">
        <v>357</v>
      </c>
      <c r="B477" s="105" t="s">
        <v>797</v>
      </c>
      <c r="C477" s="20" t="s">
        <v>263</v>
      </c>
      <c r="D477" s="69">
        <f>3590*6</f>
        <v>21540</v>
      </c>
      <c r="E477" s="90">
        <f>36+36+36+36+36+36</f>
        <v>216</v>
      </c>
      <c r="F477" s="73">
        <f>ROUND(D477/4/E477,2)</f>
        <v>24.93</v>
      </c>
      <c r="G477" s="76">
        <f>ROUND(441.63*6/E477,2)</f>
        <v>12.27</v>
      </c>
      <c r="H477" s="65">
        <f>ROUND(897.51*6/E477,2)</f>
        <v>24.93</v>
      </c>
    </row>
    <row r="478" spans="1:8" s="13" customFormat="1" ht="2.65" customHeight="1">
      <c r="A478" s="101"/>
      <c r="B478" s="105"/>
      <c r="C478" s="22" t="s">
        <v>263</v>
      </c>
      <c r="D478" s="77"/>
      <c r="E478" s="94"/>
      <c r="F478" s="81"/>
      <c r="G478" s="76"/>
      <c r="H478" s="65"/>
    </row>
    <row r="479" spans="1:8" s="13" customFormat="1" ht="2.65" customHeight="1">
      <c r="A479" s="101"/>
      <c r="B479" s="105"/>
      <c r="C479" s="22" t="s">
        <v>263</v>
      </c>
      <c r="D479" s="77"/>
      <c r="E479" s="94"/>
      <c r="F479" s="81"/>
      <c r="G479" s="76"/>
      <c r="H479" s="65"/>
    </row>
    <row r="480" spans="1:8" s="13" customFormat="1" ht="2.65" customHeight="1">
      <c r="A480" s="101"/>
      <c r="B480" s="105"/>
      <c r="C480" s="22" t="s">
        <v>263</v>
      </c>
      <c r="D480" s="77"/>
      <c r="E480" s="94"/>
      <c r="F480" s="81"/>
      <c r="G480" s="76"/>
      <c r="H480" s="65"/>
    </row>
    <row r="481" spans="1:8" s="13" customFormat="1" ht="2.65" customHeight="1">
      <c r="A481" s="101"/>
      <c r="B481" s="105"/>
      <c r="C481" s="22" t="s">
        <v>263</v>
      </c>
      <c r="D481" s="77"/>
      <c r="E481" s="94"/>
      <c r="F481" s="81"/>
      <c r="G481" s="76"/>
      <c r="H481" s="65"/>
    </row>
    <row r="482" spans="1:8" s="13" customFormat="1" ht="2.65" customHeight="1">
      <c r="A482" s="101"/>
      <c r="B482" s="105"/>
      <c r="C482" s="23" t="s">
        <v>263</v>
      </c>
      <c r="D482" s="70"/>
      <c r="E482" s="91"/>
      <c r="F482" s="74"/>
      <c r="G482" s="76"/>
      <c r="H482" s="65"/>
    </row>
    <row r="483" spans="1:8" s="13" customFormat="1" ht="15.95" customHeight="1">
      <c r="A483" s="27">
        <v>358</v>
      </c>
      <c r="B483" s="49" t="s">
        <v>372</v>
      </c>
      <c r="C483" s="16" t="s">
        <v>290</v>
      </c>
      <c r="D483" s="17">
        <v>4038.8</v>
      </c>
      <c r="E483" s="28">
        <v>74</v>
      </c>
      <c r="F483" s="18">
        <f t="shared" ref="F483:F494" si="83">ROUND(D483/4/E483,2)</f>
        <v>13.64</v>
      </c>
      <c r="G483" s="26">
        <f>ROUND(441.63/E483,2)</f>
        <v>5.97</v>
      </c>
      <c r="H483" s="45">
        <f t="shared" si="79"/>
        <v>13.64</v>
      </c>
    </row>
    <row r="484" spans="1:8" s="13" customFormat="1" ht="15.95" customHeight="1">
      <c r="A484" s="27">
        <v>359</v>
      </c>
      <c r="B484" s="49" t="s">
        <v>373</v>
      </c>
      <c r="C484" s="16" t="s">
        <v>263</v>
      </c>
      <c r="D484" s="17">
        <v>3590</v>
      </c>
      <c r="E484" s="28">
        <v>41</v>
      </c>
      <c r="F484" s="18">
        <f t="shared" si="83"/>
        <v>21.89</v>
      </c>
      <c r="G484" s="26">
        <f t="shared" ref="G484:G485" si="84">ROUND(441.63/E484,2)</f>
        <v>10.77</v>
      </c>
      <c r="H484" s="45">
        <f>ROUND(897.51/E484,2)</f>
        <v>21.89</v>
      </c>
    </row>
    <row r="485" spans="1:8" s="13" customFormat="1" ht="15.95" customHeight="1">
      <c r="A485" s="27">
        <v>360</v>
      </c>
      <c r="B485" s="49" t="s">
        <v>374</v>
      </c>
      <c r="C485" s="16" t="s">
        <v>290</v>
      </c>
      <c r="D485" s="17">
        <v>4038.8</v>
      </c>
      <c r="E485" s="28">
        <v>60</v>
      </c>
      <c r="F485" s="18">
        <f t="shared" si="83"/>
        <v>16.829999999999998</v>
      </c>
      <c r="G485" s="26">
        <f t="shared" si="84"/>
        <v>7.36</v>
      </c>
      <c r="H485" s="45">
        <f t="shared" si="79"/>
        <v>16.829999999999998</v>
      </c>
    </row>
    <row r="486" spans="1:8" s="13" customFormat="1" ht="15.95" customHeight="1">
      <c r="A486" s="27">
        <v>361</v>
      </c>
      <c r="B486" s="49" t="s">
        <v>375</v>
      </c>
      <c r="C486" s="16" t="s">
        <v>376</v>
      </c>
      <c r="D486" s="17">
        <v>4464</v>
      </c>
      <c r="E486" s="28">
        <v>127</v>
      </c>
      <c r="F486" s="18">
        <f t="shared" si="83"/>
        <v>8.7899999999999991</v>
      </c>
      <c r="G486" s="26">
        <f>ROUND(451.2/E486,2)</f>
        <v>3.55</v>
      </c>
      <c r="H486" s="45">
        <f>ROUND(1116/E486,2)</f>
        <v>8.7899999999999991</v>
      </c>
    </row>
    <row r="487" spans="1:8" s="13" customFormat="1" ht="15.95" customHeight="1">
      <c r="A487" s="27">
        <v>362</v>
      </c>
      <c r="B487" s="49" t="s">
        <v>377</v>
      </c>
      <c r="C487" s="16" t="s">
        <v>378</v>
      </c>
      <c r="D487" s="17">
        <v>4038.8</v>
      </c>
      <c r="E487" s="28">
        <v>74</v>
      </c>
      <c r="F487" s="18">
        <f t="shared" si="83"/>
        <v>13.64</v>
      </c>
      <c r="G487" s="26">
        <f>ROUND(441.63/E487,2)</f>
        <v>5.97</v>
      </c>
      <c r="H487" s="45">
        <f t="shared" si="79"/>
        <v>13.64</v>
      </c>
    </row>
    <row r="488" spans="1:8" s="13" customFormat="1" ht="15.95" customHeight="1">
      <c r="A488" s="27">
        <v>363</v>
      </c>
      <c r="B488" s="49" t="s">
        <v>379</v>
      </c>
      <c r="C488" s="16" t="s">
        <v>290</v>
      </c>
      <c r="D488" s="17">
        <v>4038.8</v>
      </c>
      <c r="E488" s="28">
        <v>74</v>
      </c>
      <c r="F488" s="18">
        <f t="shared" si="83"/>
        <v>13.64</v>
      </c>
      <c r="G488" s="26">
        <f>ROUND(441.63/E488,2)</f>
        <v>5.97</v>
      </c>
      <c r="H488" s="45">
        <f t="shared" si="79"/>
        <v>13.64</v>
      </c>
    </row>
    <row r="489" spans="1:8" s="13" customFormat="1" ht="15.95" customHeight="1">
      <c r="A489" s="27">
        <v>364</v>
      </c>
      <c r="B489" s="49" t="s">
        <v>380</v>
      </c>
      <c r="C489" s="16" t="s">
        <v>267</v>
      </c>
      <c r="D489" s="17">
        <v>4038.8</v>
      </c>
      <c r="E489" s="28">
        <v>101</v>
      </c>
      <c r="F489" s="18">
        <f t="shared" si="83"/>
        <v>10</v>
      </c>
      <c r="G489" s="26">
        <f>ROUND(469.47/E489,2)</f>
        <v>4.6500000000000004</v>
      </c>
      <c r="H489" s="45">
        <f t="shared" si="79"/>
        <v>10</v>
      </c>
    </row>
    <row r="490" spans="1:8" s="13" customFormat="1" ht="15.95" customHeight="1">
      <c r="A490" s="27">
        <v>365</v>
      </c>
      <c r="B490" s="49" t="s">
        <v>381</v>
      </c>
      <c r="C490" s="16" t="s">
        <v>382</v>
      </c>
      <c r="D490" s="17">
        <v>3590</v>
      </c>
      <c r="E490" s="28">
        <v>59</v>
      </c>
      <c r="F490" s="18">
        <f t="shared" si="83"/>
        <v>15.21</v>
      </c>
      <c r="G490" s="26">
        <f>ROUND(441.63/E490,2)</f>
        <v>7.49</v>
      </c>
      <c r="H490" s="45">
        <f>ROUND(897.51/E490,2)</f>
        <v>15.21</v>
      </c>
    </row>
    <row r="491" spans="1:8" s="13" customFormat="1" ht="15.95" customHeight="1">
      <c r="A491" s="27">
        <v>366</v>
      </c>
      <c r="B491" s="49" t="s">
        <v>383</v>
      </c>
      <c r="C491" s="16" t="s">
        <v>290</v>
      </c>
      <c r="D491" s="17">
        <v>4038.8</v>
      </c>
      <c r="E491" s="28">
        <v>57</v>
      </c>
      <c r="F491" s="18">
        <f t="shared" si="83"/>
        <v>17.71</v>
      </c>
      <c r="G491" s="26">
        <f>ROUND(441.63/E491,2)</f>
        <v>7.75</v>
      </c>
      <c r="H491" s="45">
        <f t="shared" si="79"/>
        <v>17.71</v>
      </c>
    </row>
    <row r="492" spans="1:8" s="13" customFormat="1" ht="15.95" customHeight="1">
      <c r="A492" s="27">
        <v>367</v>
      </c>
      <c r="B492" s="49" t="s">
        <v>384</v>
      </c>
      <c r="C492" s="16" t="s">
        <v>385</v>
      </c>
      <c r="D492" s="17">
        <v>4464</v>
      </c>
      <c r="E492" s="28">
        <v>92</v>
      </c>
      <c r="F492" s="18">
        <f t="shared" si="83"/>
        <v>12.13</v>
      </c>
      <c r="G492" s="26">
        <f>ROUND(451.2/E492,2)</f>
        <v>4.9000000000000004</v>
      </c>
      <c r="H492" s="45">
        <f>ROUND(1116/E492,2)</f>
        <v>12.13</v>
      </c>
    </row>
    <row r="493" spans="1:8" s="13" customFormat="1" ht="15.95" customHeight="1">
      <c r="A493" s="27">
        <v>368</v>
      </c>
      <c r="B493" s="49" t="s">
        <v>386</v>
      </c>
      <c r="C493" s="16" t="s">
        <v>290</v>
      </c>
      <c r="D493" s="17">
        <v>4038.8</v>
      </c>
      <c r="E493" s="28">
        <v>81</v>
      </c>
      <c r="F493" s="18">
        <f t="shared" si="83"/>
        <v>12.47</v>
      </c>
      <c r="G493" s="26">
        <f>ROUND(441.63/E493,2)</f>
        <v>5.45</v>
      </c>
      <c r="H493" s="45">
        <f t="shared" si="79"/>
        <v>12.47</v>
      </c>
    </row>
    <row r="494" spans="1:8" s="13" customFormat="1" ht="8.1" customHeight="1">
      <c r="A494" s="90">
        <v>369</v>
      </c>
      <c r="B494" s="105" t="s">
        <v>387</v>
      </c>
      <c r="C494" s="55" t="s">
        <v>388</v>
      </c>
      <c r="D494" s="69">
        <f>3590+4038.8</f>
        <v>7628.8</v>
      </c>
      <c r="E494" s="90">
        <f>117+32</f>
        <v>149</v>
      </c>
      <c r="F494" s="73">
        <f t="shared" si="83"/>
        <v>12.8</v>
      </c>
      <c r="G494" s="76">
        <f>ROUND(469.47*2/E494,2)</f>
        <v>6.3</v>
      </c>
      <c r="H494" s="65">
        <f>ROUND((897.51+1009.71)/E494,2)</f>
        <v>12.8</v>
      </c>
    </row>
    <row r="495" spans="1:8" s="13" customFormat="1" ht="8.1" customHeight="1">
      <c r="A495" s="94"/>
      <c r="B495" s="105"/>
      <c r="C495" s="23" t="s">
        <v>297</v>
      </c>
      <c r="D495" s="70"/>
      <c r="E495" s="91"/>
      <c r="F495" s="74"/>
      <c r="G495" s="76"/>
      <c r="H495" s="65"/>
    </row>
    <row r="496" spans="1:8" s="13" customFormat="1" ht="15.95" customHeight="1">
      <c r="A496" s="27">
        <v>370</v>
      </c>
      <c r="B496" s="49" t="s">
        <v>389</v>
      </c>
      <c r="C496" s="16" t="s">
        <v>263</v>
      </c>
      <c r="D496" s="17">
        <v>3590</v>
      </c>
      <c r="E496" s="28">
        <v>31</v>
      </c>
      <c r="F496" s="18">
        <f t="shared" ref="F496:F508" si="85">ROUND(D496/4/E496,2)</f>
        <v>28.95</v>
      </c>
      <c r="G496" s="26">
        <f>ROUND(441.63/E496,2)</f>
        <v>14.25</v>
      </c>
      <c r="H496" s="45">
        <f>ROUND(897.51/E496,2)</f>
        <v>28.95</v>
      </c>
    </row>
    <row r="497" spans="1:8" s="13" customFormat="1" ht="15.95" customHeight="1">
      <c r="A497" s="27">
        <v>371</v>
      </c>
      <c r="B497" s="49" t="s">
        <v>390</v>
      </c>
      <c r="C497" s="16" t="s">
        <v>385</v>
      </c>
      <c r="D497" s="17">
        <v>4464</v>
      </c>
      <c r="E497" s="28">
        <v>78</v>
      </c>
      <c r="F497" s="18">
        <f t="shared" si="85"/>
        <v>14.31</v>
      </c>
      <c r="G497" s="26">
        <f>ROUND(451.2/E497,2)</f>
        <v>5.78</v>
      </c>
      <c r="H497" s="45">
        <f>ROUND(1116/E497,2)</f>
        <v>14.31</v>
      </c>
    </row>
    <row r="498" spans="1:8" s="13" customFormat="1" ht="15.95" customHeight="1">
      <c r="A498" s="27">
        <v>372</v>
      </c>
      <c r="B498" s="49" t="s">
        <v>391</v>
      </c>
      <c r="C498" s="16" t="s">
        <v>392</v>
      </c>
      <c r="D498" s="17">
        <v>2702.6</v>
      </c>
      <c r="E498" s="28">
        <v>8</v>
      </c>
      <c r="F498" s="18">
        <f t="shared" si="85"/>
        <v>84.46</v>
      </c>
      <c r="G498" s="26">
        <f>ROUND(441.63/E498,2)</f>
        <v>55.2</v>
      </c>
      <c r="H498" s="45">
        <f>ROUND(675.66/E498,2)</f>
        <v>84.46</v>
      </c>
    </row>
    <row r="499" spans="1:8" s="13" customFormat="1" ht="15.95" customHeight="1">
      <c r="A499" s="27">
        <v>373</v>
      </c>
      <c r="B499" s="49" t="s">
        <v>393</v>
      </c>
      <c r="C499" s="16" t="s">
        <v>263</v>
      </c>
      <c r="D499" s="17">
        <v>3590</v>
      </c>
      <c r="E499" s="28">
        <v>25</v>
      </c>
      <c r="F499" s="18">
        <f t="shared" si="85"/>
        <v>35.9</v>
      </c>
      <c r="G499" s="26">
        <f t="shared" ref="G499:G500" si="86">ROUND(441.63/E499,2)</f>
        <v>17.670000000000002</v>
      </c>
      <c r="H499" s="45">
        <f>ROUND(897.51/E499,2)</f>
        <v>35.9</v>
      </c>
    </row>
    <row r="500" spans="1:8" s="13" customFormat="1" ht="15.95" customHeight="1">
      <c r="A500" s="27">
        <v>374</v>
      </c>
      <c r="B500" s="49" t="s">
        <v>394</v>
      </c>
      <c r="C500" s="16" t="s">
        <v>290</v>
      </c>
      <c r="D500" s="17">
        <v>4038.8</v>
      </c>
      <c r="E500" s="28">
        <v>24</v>
      </c>
      <c r="F500" s="18">
        <f t="shared" si="85"/>
        <v>42.07</v>
      </c>
      <c r="G500" s="26">
        <f t="shared" si="86"/>
        <v>18.399999999999999</v>
      </c>
      <c r="H500" s="45">
        <f t="shared" si="79"/>
        <v>42.07</v>
      </c>
    </row>
    <row r="501" spans="1:8" s="13" customFormat="1" ht="15.95" customHeight="1">
      <c r="A501" s="27">
        <v>375</v>
      </c>
      <c r="B501" s="49" t="s">
        <v>395</v>
      </c>
      <c r="C501" s="16" t="s">
        <v>342</v>
      </c>
      <c r="D501" s="17">
        <v>4851.6000000000004</v>
      </c>
      <c r="E501" s="28">
        <v>29</v>
      </c>
      <c r="F501" s="18">
        <f t="shared" si="85"/>
        <v>41.82</v>
      </c>
      <c r="G501" s="19">
        <f>ROUND(452.88/E501,2)</f>
        <v>15.62</v>
      </c>
      <c r="H501" s="45">
        <f>ROUND(1212.9/E501,2)</f>
        <v>41.82</v>
      </c>
    </row>
    <row r="502" spans="1:8" s="13" customFormat="1" ht="15.95" customHeight="1">
      <c r="A502" s="27">
        <v>376</v>
      </c>
      <c r="B502" s="49" t="s">
        <v>396</v>
      </c>
      <c r="C502" s="16" t="s">
        <v>290</v>
      </c>
      <c r="D502" s="17">
        <v>4038.8</v>
      </c>
      <c r="E502" s="28">
        <v>30</v>
      </c>
      <c r="F502" s="18">
        <f t="shared" si="85"/>
        <v>33.659999999999997</v>
      </c>
      <c r="G502" s="26">
        <f t="shared" ref="G502:G504" si="87">ROUND(441.63/E502,2)</f>
        <v>14.72</v>
      </c>
      <c r="H502" s="45">
        <f t="shared" si="79"/>
        <v>33.659999999999997</v>
      </c>
    </row>
    <row r="503" spans="1:8" s="13" customFormat="1" ht="15.95" customHeight="1">
      <c r="A503" s="27">
        <v>377</v>
      </c>
      <c r="B503" s="49" t="s">
        <v>397</v>
      </c>
      <c r="C503" s="16" t="s">
        <v>290</v>
      </c>
      <c r="D503" s="17">
        <v>4038.8</v>
      </c>
      <c r="E503" s="28">
        <v>108</v>
      </c>
      <c r="F503" s="18">
        <f t="shared" si="85"/>
        <v>9.35</v>
      </c>
      <c r="G503" s="26">
        <f t="shared" si="87"/>
        <v>4.09</v>
      </c>
      <c r="H503" s="45">
        <f t="shared" si="79"/>
        <v>9.35</v>
      </c>
    </row>
    <row r="504" spans="1:8" s="13" customFormat="1" ht="15.95" customHeight="1">
      <c r="A504" s="27">
        <v>378</v>
      </c>
      <c r="B504" s="49" t="s">
        <v>398</v>
      </c>
      <c r="C504" s="16" t="s">
        <v>263</v>
      </c>
      <c r="D504" s="17">
        <v>3590</v>
      </c>
      <c r="E504" s="28">
        <v>30</v>
      </c>
      <c r="F504" s="18">
        <f t="shared" si="85"/>
        <v>29.92</v>
      </c>
      <c r="G504" s="26">
        <f t="shared" si="87"/>
        <v>14.72</v>
      </c>
      <c r="H504" s="45">
        <f>ROUND(897.51/E504,2)</f>
        <v>29.92</v>
      </c>
    </row>
    <row r="505" spans="1:8" s="13" customFormat="1" ht="15.95" customHeight="1">
      <c r="A505" s="27">
        <v>379</v>
      </c>
      <c r="B505" s="49" t="s">
        <v>399</v>
      </c>
      <c r="C505" s="16" t="s">
        <v>376</v>
      </c>
      <c r="D505" s="17">
        <v>4464</v>
      </c>
      <c r="E505" s="28">
        <v>72</v>
      </c>
      <c r="F505" s="18">
        <f t="shared" si="85"/>
        <v>15.5</v>
      </c>
      <c r="G505" s="26">
        <f>ROUND(451.2/E505,2)</f>
        <v>6.27</v>
      </c>
      <c r="H505" s="45">
        <f>ROUND(1116/E505,2)</f>
        <v>15.5</v>
      </c>
    </row>
    <row r="506" spans="1:8" s="13" customFormat="1" ht="15.95" customHeight="1">
      <c r="A506" s="27">
        <v>380</v>
      </c>
      <c r="B506" s="49" t="s">
        <v>400</v>
      </c>
      <c r="C506" s="16" t="s">
        <v>290</v>
      </c>
      <c r="D506" s="17">
        <v>4038.8</v>
      </c>
      <c r="E506" s="28">
        <v>75</v>
      </c>
      <c r="F506" s="18">
        <f t="shared" si="85"/>
        <v>13.46</v>
      </c>
      <c r="G506" s="26">
        <f t="shared" ref="G506:G507" si="88">ROUND(441.63/E506,2)</f>
        <v>5.89</v>
      </c>
      <c r="H506" s="45">
        <f t="shared" si="79"/>
        <v>13.46</v>
      </c>
    </row>
    <row r="507" spans="1:8" s="13" customFormat="1" ht="15.95" customHeight="1">
      <c r="A507" s="27">
        <v>381</v>
      </c>
      <c r="B507" s="49" t="s">
        <v>401</v>
      </c>
      <c r="C507" s="16" t="s">
        <v>290</v>
      </c>
      <c r="D507" s="17">
        <v>4038.8</v>
      </c>
      <c r="E507" s="28">
        <v>70</v>
      </c>
      <c r="F507" s="18">
        <f t="shared" si="85"/>
        <v>14.42</v>
      </c>
      <c r="G507" s="26">
        <f t="shared" si="88"/>
        <v>6.31</v>
      </c>
      <c r="H507" s="45">
        <f t="shared" si="79"/>
        <v>14.42</v>
      </c>
    </row>
    <row r="508" spans="1:8" s="13" customFormat="1" ht="5.45" customHeight="1">
      <c r="A508" s="101">
        <v>382</v>
      </c>
      <c r="B508" s="92" t="s">
        <v>798</v>
      </c>
      <c r="C508" s="20" t="s">
        <v>402</v>
      </c>
      <c r="D508" s="69">
        <f>3590*2+4851.6</f>
        <v>12031.6</v>
      </c>
      <c r="E508" s="71">
        <f>180+35+36</f>
        <v>251</v>
      </c>
      <c r="F508" s="73">
        <f t="shared" si="85"/>
        <v>11.98</v>
      </c>
      <c r="G508" s="76">
        <f>ROUND((441.63*2+452.88)/E508,2)</f>
        <v>5.32</v>
      </c>
      <c r="H508" s="65">
        <f>ROUND((897.51*2+1212.9)/E508,2)</f>
        <v>11.98</v>
      </c>
    </row>
    <row r="509" spans="1:8" s="13" customFormat="1" ht="5.45" customHeight="1">
      <c r="A509" s="101"/>
      <c r="B509" s="98"/>
      <c r="C509" s="22" t="s">
        <v>403</v>
      </c>
      <c r="D509" s="77"/>
      <c r="E509" s="85"/>
      <c r="F509" s="81"/>
      <c r="G509" s="76"/>
      <c r="H509" s="65"/>
    </row>
    <row r="510" spans="1:8" s="13" customFormat="1" ht="5.45" customHeight="1">
      <c r="A510" s="101"/>
      <c r="B510" s="93"/>
      <c r="C510" s="23" t="s">
        <v>403</v>
      </c>
      <c r="D510" s="70"/>
      <c r="E510" s="72"/>
      <c r="F510" s="74"/>
      <c r="G510" s="76"/>
      <c r="H510" s="65"/>
    </row>
    <row r="511" spans="1:8" s="13" customFormat="1" ht="15.95" customHeight="1">
      <c r="A511" s="27">
        <v>383</v>
      </c>
      <c r="B511" s="56" t="s">
        <v>662</v>
      </c>
      <c r="C511" s="16" t="s">
        <v>342</v>
      </c>
      <c r="D511" s="17">
        <v>4851.6000000000004</v>
      </c>
      <c r="E511" s="57">
        <v>146</v>
      </c>
      <c r="F511" s="18">
        <f>ROUND(D511/4/E511,2)</f>
        <v>8.31</v>
      </c>
      <c r="G511" s="19">
        <f>ROUND(452.88/E511,2)</f>
        <v>3.1</v>
      </c>
      <c r="H511" s="45">
        <f>ROUND(1212.9/E511,2)</f>
        <v>8.31</v>
      </c>
    </row>
    <row r="512" spans="1:8" s="13" customFormat="1" ht="15.95" customHeight="1">
      <c r="A512" s="27">
        <v>384</v>
      </c>
      <c r="B512" s="56" t="s">
        <v>663</v>
      </c>
      <c r="C512" s="16" t="s">
        <v>290</v>
      </c>
      <c r="D512" s="17">
        <v>4038.8</v>
      </c>
      <c r="E512" s="57">
        <v>106</v>
      </c>
      <c r="F512" s="18">
        <f>ROUND(D512/4/E512,2)</f>
        <v>9.5299999999999994</v>
      </c>
      <c r="G512" s="26">
        <f>ROUND(441.63/E512,2)</f>
        <v>4.17</v>
      </c>
      <c r="H512" s="45">
        <f t="shared" si="79"/>
        <v>9.5299999999999994</v>
      </c>
    </row>
    <row r="513" spans="1:8" s="13" customFormat="1" ht="15.95" customHeight="1">
      <c r="A513" s="27">
        <v>385</v>
      </c>
      <c r="B513" s="56" t="s">
        <v>664</v>
      </c>
      <c r="C513" s="16" t="s">
        <v>376</v>
      </c>
      <c r="D513" s="17">
        <v>4464</v>
      </c>
      <c r="E513" s="57">
        <v>157</v>
      </c>
      <c r="F513" s="58">
        <f>ROUND(D513/4/E513,2)</f>
        <v>7.11</v>
      </c>
      <c r="G513" s="26">
        <f>ROUND(451.2/E513,2)</f>
        <v>2.87</v>
      </c>
      <c r="H513" s="45">
        <f>ROUND(1116/E513,2)</f>
        <v>7.11</v>
      </c>
    </row>
    <row r="514" spans="1:8" s="13" customFormat="1" ht="3.95" customHeight="1">
      <c r="A514" s="101">
        <v>386</v>
      </c>
      <c r="B514" s="92" t="s">
        <v>799</v>
      </c>
      <c r="C514" s="20" t="s">
        <v>404</v>
      </c>
      <c r="D514" s="82">
        <f>3590*4</f>
        <v>14360</v>
      </c>
      <c r="E514" s="71">
        <f>36+50+47+34</f>
        <v>167</v>
      </c>
      <c r="F514" s="73">
        <f>ROUND(D514/4/E514,2)</f>
        <v>21.5</v>
      </c>
      <c r="G514" s="76">
        <f>ROUND(441.63*4/E514,2)</f>
        <v>10.58</v>
      </c>
      <c r="H514" s="65">
        <f>ROUND(897.51*4/E514,2)</f>
        <v>21.5</v>
      </c>
    </row>
    <row r="515" spans="1:8" s="13" customFormat="1" ht="3.95" customHeight="1">
      <c r="A515" s="101"/>
      <c r="B515" s="98"/>
      <c r="C515" s="22" t="s">
        <v>404</v>
      </c>
      <c r="D515" s="83"/>
      <c r="E515" s="85"/>
      <c r="F515" s="81"/>
      <c r="G515" s="76"/>
      <c r="H515" s="65"/>
    </row>
    <row r="516" spans="1:8" s="13" customFormat="1" ht="3.95" customHeight="1">
      <c r="A516" s="101"/>
      <c r="B516" s="98"/>
      <c r="C516" s="22" t="s">
        <v>404</v>
      </c>
      <c r="D516" s="83"/>
      <c r="E516" s="85"/>
      <c r="F516" s="81"/>
      <c r="G516" s="76"/>
      <c r="H516" s="65"/>
    </row>
    <row r="517" spans="1:8" s="13" customFormat="1" ht="3" customHeight="1">
      <c r="A517" s="101"/>
      <c r="B517" s="93"/>
      <c r="C517" s="23" t="s">
        <v>665</v>
      </c>
      <c r="D517" s="84"/>
      <c r="E517" s="72"/>
      <c r="F517" s="74"/>
      <c r="G517" s="76"/>
      <c r="H517" s="65"/>
    </row>
    <row r="518" spans="1:8" s="13" customFormat="1" ht="2.65" customHeight="1">
      <c r="A518" s="101">
        <v>387</v>
      </c>
      <c r="B518" s="92" t="s">
        <v>800</v>
      </c>
      <c r="C518" s="20" t="s">
        <v>404</v>
      </c>
      <c r="D518" s="82">
        <f>3590*6</f>
        <v>21540</v>
      </c>
      <c r="E518" s="71">
        <f>15+15+19+10+10+7</f>
        <v>76</v>
      </c>
      <c r="F518" s="73">
        <f>ROUND(D518/4/E518,2)</f>
        <v>70.86</v>
      </c>
      <c r="G518" s="76">
        <f>ROUND(441.63*6/E518,2)</f>
        <v>34.869999999999997</v>
      </c>
      <c r="H518" s="65">
        <f>ROUND(897.51*6/E518,2)</f>
        <v>70.86</v>
      </c>
    </row>
    <row r="519" spans="1:8" s="13" customFormat="1" ht="2.65" customHeight="1">
      <c r="A519" s="101"/>
      <c r="B519" s="98"/>
      <c r="C519" s="22" t="s">
        <v>404</v>
      </c>
      <c r="D519" s="83"/>
      <c r="E519" s="85"/>
      <c r="F519" s="81"/>
      <c r="G519" s="76"/>
      <c r="H519" s="65"/>
    </row>
    <row r="520" spans="1:8" s="13" customFormat="1" ht="2.65" customHeight="1">
      <c r="A520" s="101"/>
      <c r="B520" s="98"/>
      <c r="C520" s="22" t="s">
        <v>404</v>
      </c>
      <c r="D520" s="83"/>
      <c r="E520" s="85"/>
      <c r="F520" s="81"/>
      <c r="G520" s="76"/>
      <c r="H520" s="65"/>
    </row>
    <row r="521" spans="1:8" s="13" customFormat="1" ht="2.65" customHeight="1">
      <c r="A521" s="101"/>
      <c r="B521" s="98"/>
      <c r="C521" s="22" t="s">
        <v>404</v>
      </c>
      <c r="D521" s="83"/>
      <c r="E521" s="85"/>
      <c r="F521" s="81"/>
      <c r="G521" s="76"/>
      <c r="H521" s="65"/>
    </row>
    <row r="522" spans="1:8" s="13" customFormat="1" ht="2.65" customHeight="1">
      <c r="A522" s="101"/>
      <c r="B522" s="98"/>
      <c r="C522" s="22" t="s">
        <v>404</v>
      </c>
      <c r="D522" s="83"/>
      <c r="E522" s="85"/>
      <c r="F522" s="81"/>
      <c r="G522" s="76"/>
      <c r="H522" s="65"/>
    </row>
    <row r="523" spans="1:8" s="13" customFormat="1" ht="2.65" customHeight="1">
      <c r="A523" s="101"/>
      <c r="B523" s="93"/>
      <c r="C523" s="23" t="s">
        <v>404</v>
      </c>
      <c r="D523" s="84"/>
      <c r="E523" s="72"/>
      <c r="F523" s="74"/>
      <c r="G523" s="76"/>
      <c r="H523" s="65"/>
    </row>
    <row r="524" spans="1:8" s="13" customFormat="1" ht="15.95" customHeight="1">
      <c r="A524" s="27">
        <v>388</v>
      </c>
      <c r="B524" s="56" t="s">
        <v>667</v>
      </c>
      <c r="C524" s="16" t="s">
        <v>385</v>
      </c>
      <c r="D524" s="17">
        <v>4464</v>
      </c>
      <c r="E524" s="57">
        <v>79</v>
      </c>
      <c r="F524" s="58">
        <f>ROUND(D524/4/E524,2)</f>
        <v>14.13</v>
      </c>
      <c r="G524" s="26">
        <f>ROUND(451.2/E524,2)</f>
        <v>5.71</v>
      </c>
      <c r="H524" s="45">
        <f>ROUND(1116/E524,2)</f>
        <v>14.13</v>
      </c>
    </row>
    <row r="525" spans="1:8" s="13" customFormat="1" ht="15.95" customHeight="1">
      <c r="A525" s="27">
        <v>389</v>
      </c>
      <c r="B525" s="56" t="s">
        <v>668</v>
      </c>
      <c r="C525" s="16" t="s">
        <v>378</v>
      </c>
      <c r="D525" s="59">
        <v>4038.8</v>
      </c>
      <c r="E525" s="57">
        <v>47</v>
      </c>
      <c r="F525" s="58">
        <f>ROUND(D525/4/E525,2)</f>
        <v>21.48</v>
      </c>
      <c r="G525" s="26">
        <f>ROUND(441.63/E525,2)</f>
        <v>9.4</v>
      </c>
      <c r="H525" s="45">
        <f t="shared" ref="H525:H583" si="89">ROUND(1009.71/E525,2)</f>
        <v>21.48</v>
      </c>
    </row>
    <row r="526" spans="1:8" s="13" customFormat="1" ht="16.5" customHeight="1">
      <c r="A526" s="27">
        <v>390</v>
      </c>
      <c r="B526" s="56" t="s">
        <v>666</v>
      </c>
      <c r="C526" s="16" t="s">
        <v>392</v>
      </c>
      <c r="D526" s="59">
        <v>2702.6</v>
      </c>
      <c r="E526" s="57">
        <v>18</v>
      </c>
      <c r="F526" s="58">
        <f>ROUND(D526/4/E526,2)</f>
        <v>37.54</v>
      </c>
      <c r="G526" s="26">
        <f>ROUND(441.63/E526,2)</f>
        <v>24.54</v>
      </c>
      <c r="H526" s="45">
        <f>ROUND(675.66/E526,2)</f>
        <v>37.54</v>
      </c>
    </row>
    <row r="527" spans="1:8" s="13" customFormat="1" ht="8.1" customHeight="1">
      <c r="A527" s="101">
        <v>391</v>
      </c>
      <c r="B527" s="92" t="s">
        <v>801</v>
      </c>
      <c r="C527" s="20" t="s">
        <v>404</v>
      </c>
      <c r="D527" s="82">
        <f>3590*2</f>
        <v>7180</v>
      </c>
      <c r="E527" s="71">
        <f>31+35</f>
        <v>66</v>
      </c>
      <c r="F527" s="73">
        <f>ROUND(D527/4/E527,2)</f>
        <v>27.2</v>
      </c>
      <c r="G527" s="76">
        <f>ROUND(441.63*2/E527,2)</f>
        <v>13.38</v>
      </c>
      <c r="H527" s="65">
        <f>ROUND(897.51*2/E527,2)</f>
        <v>27.2</v>
      </c>
    </row>
    <row r="528" spans="1:8" s="13" customFormat="1" ht="8.1" customHeight="1">
      <c r="A528" s="101"/>
      <c r="B528" s="93"/>
      <c r="C528" s="23" t="s">
        <v>404</v>
      </c>
      <c r="D528" s="84"/>
      <c r="E528" s="72"/>
      <c r="F528" s="74"/>
      <c r="G528" s="76"/>
      <c r="H528" s="65"/>
    </row>
    <row r="529" spans="1:8" s="13" customFormat="1" ht="15.95" customHeight="1">
      <c r="A529" s="27">
        <v>392</v>
      </c>
      <c r="B529" s="56" t="s">
        <v>669</v>
      </c>
      <c r="C529" s="16" t="s">
        <v>275</v>
      </c>
      <c r="D529" s="59">
        <v>2702.6</v>
      </c>
      <c r="E529" s="57">
        <v>10</v>
      </c>
      <c r="F529" s="58">
        <f t="shared" ref="F529:F554" si="90">ROUND(D529/4/E529,2)</f>
        <v>67.569999999999993</v>
      </c>
      <c r="G529" s="26">
        <f>ROUND(441.63/E529,2)</f>
        <v>44.16</v>
      </c>
      <c r="H529" s="45">
        <f>ROUND(675.66/E529,2)</f>
        <v>67.569999999999993</v>
      </c>
    </row>
    <row r="530" spans="1:8" s="13" customFormat="1" ht="15.95" customHeight="1">
      <c r="A530" s="27">
        <v>393</v>
      </c>
      <c r="B530" s="56" t="s">
        <v>670</v>
      </c>
      <c r="C530" s="16" t="s">
        <v>378</v>
      </c>
      <c r="D530" s="17">
        <v>4038.8</v>
      </c>
      <c r="E530" s="57">
        <v>40</v>
      </c>
      <c r="F530" s="58">
        <f t="shared" si="90"/>
        <v>25.24</v>
      </c>
      <c r="G530" s="26">
        <f>ROUND(441.63/E530,2)</f>
        <v>11.04</v>
      </c>
      <c r="H530" s="45">
        <f t="shared" si="89"/>
        <v>25.24</v>
      </c>
    </row>
    <row r="531" spans="1:8" s="13" customFormat="1" ht="15.95" customHeight="1">
      <c r="A531" s="27">
        <v>394</v>
      </c>
      <c r="B531" s="56" t="s">
        <v>671</v>
      </c>
      <c r="C531" s="16" t="s">
        <v>404</v>
      </c>
      <c r="D531" s="17">
        <v>3590</v>
      </c>
      <c r="E531" s="57">
        <v>58</v>
      </c>
      <c r="F531" s="58">
        <f t="shared" si="90"/>
        <v>15.47</v>
      </c>
      <c r="G531" s="26">
        <f>ROUND(441.63/E531,2)</f>
        <v>7.61</v>
      </c>
      <c r="H531" s="45">
        <f>ROUND(897.51/E531,2)</f>
        <v>15.47</v>
      </c>
    </row>
    <row r="532" spans="1:8" s="13" customFormat="1" ht="15.95" customHeight="1">
      <c r="A532" s="27">
        <v>395</v>
      </c>
      <c r="B532" s="56" t="s">
        <v>672</v>
      </c>
      <c r="C532" s="16" t="s">
        <v>382</v>
      </c>
      <c r="D532" s="17">
        <v>3590</v>
      </c>
      <c r="E532" s="57">
        <v>90</v>
      </c>
      <c r="F532" s="58">
        <f t="shared" si="90"/>
        <v>9.9700000000000006</v>
      </c>
      <c r="G532" s="26">
        <f>ROUND(441.63/E532,2)</f>
        <v>4.91</v>
      </c>
      <c r="H532" s="45">
        <f>ROUND(897.51/E532,2)</f>
        <v>9.9700000000000006</v>
      </c>
    </row>
    <row r="533" spans="1:8" s="13" customFormat="1" ht="15.95" customHeight="1">
      <c r="A533" s="27">
        <v>396</v>
      </c>
      <c r="B533" s="56" t="s">
        <v>673</v>
      </c>
      <c r="C533" s="16" t="s">
        <v>303</v>
      </c>
      <c r="D533" s="17">
        <v>4038.8</v>
      </c>
      <c r="E533" s="57">
        <v>34</v>
      </c>
      <c r="F533" s="58">
        <f t="shared" si="90"/>
        <v>29.7</v>
      </c>
      <c r="G533" s="26">
        <f>ROUND(469.47/E533,2)</f>
        <v>13.81</v>
      </c>
      <c r="H533" s="45">
        <f t="shared" si="89"/>
        <v>29.7</v>
      </c>
    </row>
    <row r="534" spans="1:8" s="13" customFormat="1" ht="15.95" customHeight="1">
      <c r="A534" s="27">
        <v>397</v>
      </c>
      <c r="B534" s="56" t="s">
        <v>674</v>
      </c>
      <c r="C534" s="16" t="s">
        <v>275</v>
      </c>
      <c r="D534" s="59">
        <v>2702.6</v>
      </c>
      <c r="E534" s="57">
        <v>23</v>
      </c>
      <c r="F534" s="58">
        <f t="shared" si="90"/>
        <v>29.38</v>
      </c>
      <c r="G534" s="26">
        <f>ROUND(441.63/E534,2)</f>
        <v>19.2</v>
      </c>
      <c r="H534" s="45">
        <f>ROUND(675.66/E534,2)</f>
        <v>29.38</v>
      </c>
    </row>
    <row r="535" spans="1:8" s="13" customFormat="1" ht="15.95" customHeight="1">
      <c r="A535" s="27">
        <v>398</v>
      </c>
      <c r="B535" s="56" t="s">
        <v>675</v>
      </c>
      <c r="C535" s="16" t="s">
        <v>405</v>
      </c>
      <c r="D535" s="17">
        <v>4851.6000000000004</v>
      </c>
      <c r="E535" s="57">
        <v>117</v>
      </c>
      <c r="F535" s="58">
        <f t="shared" si="90"/>
        <v>10.37</v>
      </c>
      <c r="G535" s="26">
        <f>ROUND(482.49/E535,2)</f>
        <v>4.12</v>
      </c>
      <c r="H535" s="45">
        <f>ROUND(1212.9/E535,2)</f>
        <v>10.37</v>
      </c>
    </row>
    <row r="536" spans="1:8" s="13" customFormat="1" ht="15.95" customHeight="1">
      <c r="A536" s="27">
        <v>399</v>
      </c>
      <c r="B536" s="56" t="s">
        <v>676</v>
      </c>
      <c r="C536" s="16" t="s">
        <v>406</v>
      </c>
      <c r="D536" s="17">
        <v>4464</v>
      </c>
      <c r="E536" s="57">
        <v>94</v>
      </c>
      <c r="F536" s="58">
        <f t="shared" si="90"/>
        <v>11.87</v>
      </c>
      <c r="G536" s="19">
        <f>ROUND(482.49/E536,2)</f>
        <v>5.13</v>
      </c>
      <c r="H536" s="45">
        <f>ROUND(1116/E536,2)</f>
        <v>11.87</v>
      </c>
    </row>
    <row r="537" spans="1:8" s="13" customFormat="1" ht="15.95" customHeight="1">
      <c r="A537" s="27">
        <v>400</v>
      </c>
      <c r="B537" s="56" t="s">
        <v>677</v>
      </c>
      <c r="C537" s="16" t="s">
        <v>407</v>
      </c>
      <c r="D537" s="17">
        <v>4851.6000000000004</v>
      </c>
      <c r="E537" s="57">
        <v>83</v>
      </c>
      <c r="F537" s="58">
        <f t="shared" si="90"/>
        <v>14.61</v>
      </c>
      <c r="G537" s="26">
        <f>ROUND(452.88/E537,2)</f>
        <v>5.46</v>
      </c>
      <c r="H537" s="45">
        <f>ROUND(1212.9/E537,2)</f>
        <v>14.61</v>
      </c>
    </row>
    <row r="538" spans="1:8" s="13" customFormat="1" ht="15.95" customHeight="1">
      <c r="A538" s="27">
        <v>401</v>
      </c>
      <c r="B538" s="56" t="s">
        <v>678</v>
      </c>
      <c r="C538" s="16" t="s">
        <v>392</v>
      </c>
      <c r="D538" s="59">
        <v>2702.6</v>
      </c>
      <c r="E538" s="57">
        <v>13</v>
      </c>
      <c r="F538" s="58">
        <f t="shared" si="90"/>
        <v>51.97</v>
      </c>
      <c r="G538" s="26">
        <f>ROUND(441.63/E538,2)</f>
        <v>33.97</v>
      </c>
      <c r="H538" s="45">
        <f>ROUND(675.66/E538,2)</f>
        <v>51.97</v>
      </c>
    </row>
    <row r="539" spans="1:8" s="13" customFormat="1" ht="15.95" customHeight="1">
      <c r="A539" s="27">
        <v>402</v>
      </c>
      <c r="B539" s="56" t="s">
        <v>679</v>
      </c>
      <c r="C539" s="16" t="s">
        <v>385</v>
      </c>
      <c r="D539" s="17">
        <v>4464</v>
      </c>
      <c r="E539" s="57">
        <v>76</v>
      </c>
      <c r="F539" s="58">
        <f t="shared" si="90"/>
        <v>14.68</v>
      </c>
      <c r="G539" s="26">
        <f>ROUND(451.2/E539,2)</f>
        <v>5.94</v>
      </c>
      <c r="H539" s="45">
        <f>ROUND(1116/E539,2)</f>
        <v>14.68</v>
      </c>
    </row>
    <row r="540" spans="1:8" s="13" customFormat="1" ht="15.95" customHeight="1">
      <c r="A540" s="27">
        <v>403</v>
      </c>
      <c r="B540" s="56" t="s">
        <v>848</v>
      </c>
      <c r="C540" s="16" t="s">
        <v>342</v>
      </c>
      <c r="D540" s="17">
        <v>4851.6000000000004</v>
      </c>
      <c r="E540" s="57">
        <v>208</v>
      </c>
      <c r="F540" s="58">
        <f t="shared" si="90"/>
        <v>5.83</v>
      </c>
      <c r="G540" s="19">
        <f>ROUND(452.88/E540,2)</f>
        <v>2.1800000000000002</v>
      </c>
      <c r="H540" s="45">
        <f>ROUND(1212.9/E540,2)</f>
        <v>5.83</v>
      </c>
    </row>
    <row r="541" spans="1:8" s="13" customFormat="1" ht="15.95" customHeight="1">
      <c r="A541" s="27">
        <v>404</v>
      </c>
      <c r="B541" s="56" t="s">
        <v>680</v>
      </c>
      <c r="C541" s="16" t="s">
        <v>290</v>
      </c>
      <c r="D541" s="17">
        <v>4038.8</v>
      </c>
      <c r="E541" s="57">
        <v>76</v>
      </c>
      <c r="F541" s="58">
        <f t="shared" si="90"/>
        <v>13.29</v>
      </c>
      <c r="G541" s="26">
        <f>ROUND(441.63/E541,2)</f>
        <v>5.81</v>
      </c>
      <c r="H541" s="45">
        <f t="shared" si="89"/>
        <v>13.29</v>
      </c>
    </row>
    <row r="542" spans="1:8" s="13" customFormat="1" ht="15.95" customHeight="1">
      <c r="A542" s="27">
        <v>405</v>
      </c>
      <c r="B542" s="56" t="s">
        <v>681</v>
      </c>
      <c r="C542" s="16" t="s">
        <v>392</v>
      </c>
      <c r="D542" s="59">
        <v>2702.6</v>
      </c>
      <c r="E542" s="57">
        <v>26</v>
      </c>
      <c r="F542" s="58">
        <f t="shared" si="90"/>
        <v>25.99</v>
      </c>
      <c r="G542" s="26">
        <f>ROUND(441.63/E542,2)</f>
        <v>16.989999999999998</v>
      </c>
      <c r="H542" s="45">
        <f>ROUND(675.66/E542,2)</f>
        <v>25.99</v>
      </c>
    </row>
    <row r="543" spans="1:8" s="13" customFormat="1" ht="15.95" customHeight="1">
      <c r="A543" s="27">
        <v>406</v>
      </c>
      <c r="B543" s="56" t="s">
        <v>682</v>
      </c>
      <c r="C543" s="16" t="s">
        <v>408</v>
      </c>
      <c r="D543" s="17">
        <v>4038.8</v>
      </c>
      <c r="E543" s="57">
        <v>78</v>
      </c>
      <c r="F543" s="58">
        <f t="shared" si="90"/>
        <v>12.94</v>
      </c>
      <c r="G543" s="26">
        <f>ROUND(469.47/E543,2)</f>
        <v>6.02</v>
      </c>
      <c r="H543" s="45">
        <f t="shared" si="89"/>
        <v>12.95</v>
      </c>
    </row>
    <row r="544" spans="1:8" s="13" customFormat="1" ht="15.95" customHeight="1">
      <c r="A544" s="27">
        <v>407</v>
      </c>
      <c r="B544" s="56" t="s">
        <v>683</v>
      </c>
      <c r="C544" s="16" t="s">
        <v>406</v>
      </c>
      <c r="D544" s="17">
        <v>4464</v>
      </c>
      <c r="E544" s="57">
        <v>90</v>
      </c>
      <c r="F544" s="58">
        <f t="shared" si="90"/>
        <v>12.4</v>
      </c>
      <c r="G544" s="19">
        <f>ROUND(482.49/E544,2)</f>
        <v>5.36</v>
      </c>
      <c r="H544" s="45">
        <f>ROUND(1116/E544,2)</f>
        <v>12.4</v>
      </c>
    </row>
    <row r="545" spans="1:8" s="13" customFormat="1" ht="15.95" customHeight="1">
      <c r="A545" s="27">
        <v>408</v>
      </c>
      <c r="B545" s="56" t="s">
        <v>684</v>
      </c>
      <c r="C545" s="16" t="s">
        <v>382</v>
      </c>
      <c r="D545" s="17">
        <v>3590</v>
      </c>
      <c r="E545" s="57">
        <v>30</v>
      </c>
      <c r="F545" s="58">
        <f t="shared" si="90"/>
        <v>29.92</v>
      </c>
      <c r="G545" s="26">
        <f t="shared" ref="G545:G547" si="91">ROUND(441.63/E545,2)</f>
        <v>14.72</v>
      </c>
      <c r="H545" s="45">
        <f>ROUND(897.51/E545,2)</f>
        <v>29.92</v>
      </c>
    </row>
    <row r="546" spans="1:8" s="13" customFormat="1" ht="15.95" customHeight="1">
      <c r="A546" s="27">
        <v>409</v>
      </c>
      <c r="B546" s="56" t="s">
        <v>685</v>
      </c>
      <c r="C546" s="16" t="s">
        <v>403</v>
      </c>
      <c r="D546" s="17">
        <v>3590</v>
      </c>
      <c r="E546" s="57">
        <v>66</v>
      </c>
      <c r="F546" s="58">
        <f t="shared" si="90"/>
        <v>13.6</v>
      </c>
      <c r="G546" s="26">
        <f t="shared" si="91"/>
        <v>6.69</v>
      </c>
      <c r="H546" s="45">
        <f>ROUND(897.51/E546,2)</f>
        <v>13.6</v>
      </c>
    </row>
    <row r="547" spans="1:8" s="13" customFormat="1" ht="15.95" customHeight="1">
      <c r="A547" s="27">
        <v>410</v>
      </c>
      <c r="B547" s="56" t="s">
        <v>686</v>
      </c>
      <c r="C547" s="16" t="s">
        <v>378</v>
      </c>
      <c r="D547" s="17">
        <v>4038.8</v>
      </c>
      <c r="E547" s="57">
        <v>71</v>
      </c>
      <c r="F547" s="58">
        <f t="shared" si="90"/>
        <v>14.22</v>
      </c>
      <c r="G547" s="26">
        <f t="shared" si="91"/>
        <v>6.22</v>
      </c>
      <c r="H547" s="45">
        <f t="shared" si="89"/>
        <v>14.22</v>
      </c>
    </row>
    <row r="548" spans="1:8" s="13" customFormat="1" ht="15.95" customHeight="1">
      <c r="A548" s="27">
        <v>411</v>
      </c>
      <c r="B548" s="56" t="s">
        <v>687</v>
      </c>
      <c r="C548" s="16" t="s">
        <v>274</v>
      </c>
      <c r="D548" s="17">
        <v>4464</v>
      </c>
      <c r="E548" s="57">
        <v>72</v>
      </c>
      <c r="F548" s="58">
        <f t="shared" si="90"/>
        <v>15.5</v>
      </c>
      <c r="G548" s="26">
        <f>ROUND(451.2/E548,2)</f>
        <v>6.27</v>
      </c>
      <c r="H548" s="45">
        <f>ROUND(1116/E548,2)</f>
        <v>15.5</v>
      </c>
    </row>
    <row r="549" spans="1:8" s="13" customFormat="1" ht="15.95" customHeight="1">
      <c r="A549" s="27">
        <v>412</v>
      </c>
      <c r="B549" s="56" t="s">
        <v>688</v>
      </c>
      <c r="C549" s="16" t="s">
        <v>409</v>
      </c>
      <c r="D549" s="17">
        <v>4038.8</v>
      </c>
      <c r="E549" s="57">
        <v>72</v>
      </c>
      <c r="F549" s="58">
        <f t="shared" si="90"/>
        <v>14.02</v>
      </c>
      <c r="G549" s="26">
        <f>ROUND(441.63/E549,2)</f>
        <v>6.13</v>
      </c>
      <c r="H549" s="45">
        <f t="shared" si="89"/>
        <v>14.02</v>
      </c>
    </row>
    <row r="550" spans="1:8" s="13" customFormat="1" ht="15.95" customHeight="1">
      <c r="A550" s="27">
        <v>413</v>
      </c>
      <c r="B550" s="56" t="s">
        <v>689</v>
      </c>
      <c r="C550" s="16" t="s">
        <v>261</v>
      </c>
      <c r="D550" s="17">
        <v>4038.8</v>
      </c>
      <c r="E550" s="57">
        <v>74</v>
      </c>
      <c r="F550" s="58">
        <f t="shared" si="90"/>
        <v>13.64</v>
      </c>
      <c r="G550" s="26">
        <f t="shared" ref="G550:G551" si="92">ROUND(441.63/E550,2)</f>
        <v>5.97</v>
      </c>
      <c r="H550" s="45">
        <f t="shared" si="89"/>
        <v>13.64</v>
      </c>
    </row>
    <row r="551" spans="1:8" s="13" customFormat="1" ht="15.95" customHeight="1">
      <c r="A551" s="27">
        <v>414</v>
      </c>
      <c r="B551" s="56" t="s">
        <v>690</v>
      </c>
      <c r="C551" s="16" t="s">
        <v>261</v>
      </c>
      <c r="D551" s="17">
        <v>4038.8</v>
      </c>
      <c r="E551" s="57">
        <v>32</v>
      </c>
      <c r="F551" s="58">
        <f t="shared" si="90"/>
        <v>31.55</v>
      </c>
      <c r="G551" s="26">
        <f t="shared" si="92"/>
        <v>13.8</v>
      </c>
      <c r="H551" s="45">
        <f t="shared" si="89"/>
        <v>31.55</v>
      </c>
    </row>
    <row r="552" spans="1:8" s="13" customFormat="1" ht="15.95" customHeight="1">
      <c r="A552" s="27">
        <v>415</v>
      </c>
      <c r="B552" s="56" t="s">
        <v>691</v>
      </c>
      <c r="C552" s="16" t="s">
        <v>409</v>
      </c>
      <c r="D552" s="17">
        <v>4038.8</v>
      </c>
      <c r="E552" s="57">
        <v>69</v>
      </c>
      <c r="F552" s="58">
        <f t="shared" si="90"/>
        <v>14.63</v>
      </c>
      <c r="G552" s="26">
        <f>ROUND(441.63/E552,2)</f>
        <v>6.4</v>
      </c>
      <c r="H552" s="45">
        <f t="shared" si="89"/>
        <v>14.63</v>
      </c>
    </row>
    <row r="553" spans="1:8" s="13" customFormat="1" ht="15.95" customHeight="1">
      <c r="A553" s="27">
        <v>416</v>
      </c>
      <c r="B553" s="56" t="s">
        <v>692</v>
      </c>
      <c r="C553" s="16" t="s">
        <v>408</v>
      </c>
      <c r="D553" s="17">
        <v>4038.8</v>
      </c>
      <c r="E553" s="57">
        <v>45</v>
      </c>
      <c r="F553" s="58">
        <f t="shared" si="90"/>
        <v>22.44</v>
      </c>
      <c r="G553" s="26">
        <f>ROUND(469.47/E553,2)</f>
        <v>10.43</v>
      </c>
      <c r="H553" s="45">
        <f t="shared" si="89"/>
        <v>22.44</v>
      </c>
    </row>
    <row r="554" spans="1:8" s="13" customFormat="1" ht="15.95" customHeight="1">
      <c r="A554" s="27">
        <v>417</v>
      </c>
      <c r="B554" s="56" t="s">
        <v>693</v>
      </c>
      <c r="C554" s="16" t="s">
        <v>274</v>
      </c>
      <c r="D554" s="17">
        <v>4464</v>
      </c>
      <c r="E554" s="57">
        <v>179</v>
      </c>
      <c r="F554" s="58">
        <f t="shared" si="90"/>
        <v>6.23</v>
      </c>
      <c r="G554" s="26">
        <f>ROUND(451.2/E554,2)</f>
        <v>2.52</v>
      </c>
      <c r="H554" s="45">
        <f>ROUND(1116/E554,2)</f>
        <v>6.23</v>
      </c>
    </row>
    <row r="555" spans="1:8" s="13" customFormat="1" ht="8.1" customHeight="1">
      <c r="A555" s="90">
        <v>418</v>
      </c>
      <c r="B555" s="92" t="s">
        <v>804</v>
      </c>
      <c r="C555" s="20" t="s">
        <v>698</v>
      </c>
      <c r="D555" s="69">
        <f>2702.6+4464</f>
        <v>7166.6</v>
      </c>
      <c r="E555" s="71">
        <f>34+107</f>
        <v>141</v>
      </c>
      <c r="F555" s="73">
        <f>ROUND(D555/4/E555,2)</f>
        <v>12.71</v>
      </c>
      <c r="G555" s="75">
        <f>ROUND((441.63+451.2)/E555,2)</f>
        <v>6.33</v>
      </c>
      <c r="H555" s="65">
        <f>ROUND((675.66+1116)/E555,2)</f>
        <v>12.71</v>
      </c>
    </row>
    <row r="556" spans="1:8" s="13" customFormat="1" ht="8.1" customHeight="1">
      <c r="A556" s="91"/>
      <c r="B556" s="93"/>
      <c r="C556" s="23" t="s">
        <v>274</v>
      </c>
      <c r="D556" s="70"/>
      <c r="E556" s="72"/>
      <c r="F556" s="74"/>
      <c r="G556" s="75"/>
      <c r="H556" s="65"/>
    </row>
    <row r="557" spans="1:8" s="13" customFormat="1" ht="8.1" customHeight="1">
      <c r="A557" s="101">
        <v>419</v>
      </c>
      <c r="B557" s="92" t="s">
        <v>805</v>
      </c>
      <c r="C557" s="20" t="s">
        <v>403</v>
      </c>
      <c r="D557" s="69">
        <f>3590+2702.6</f>
        <v>6292.6</v>
      </c>
      <c r="E557" s="71">
        <f>40+25</f>
        <v>65</v>
      </c>
      <c r="F557" s="73">
        <f>ROUND(D557/4/E557,2)</f>
        <v>24.2</v>
      </c>
      <c r="G557" s="76">
        <f>ROUND((441.63+467.97)/E557,2)</f>
        <v>13.99</v>
      </c>
      <c r="H557" s="65">
        <f>ROUND((897.51+675.66)/E557,2)</f>
        <v>24.2</v>
      </c>
    </row>
    <row r="558" spans="1:8" s="13" customFormat="1" ht="8.1" customHeight="1">
      <c r="A558" s="101"/>
      <c r="B558" s="93"/>
      <c r="C558" s="23" t="s">
        <v>697</v>
      </c>
      <c r="D558" s="70"/>
      <c r="E558" s="72"/>
      <c r="F558" s="74"/>
      <c r="G558" s="76"/>
      <c r="H558" s="65"/>
    </row>
    <row r="559" spans="1:8" s="13" customFormat="1" ht="15.95" customHeight="1">
      <c r="A559" s="27">
        <v>420</v>
      </c>
      <c r="B559" s="56" t="s">
        <v>694</v>
      </c>
      <c r="C559" s="16" t="s">
        <v>403</v>
      </c>
      <c r="D559" s="17">
        <v>3590</v>
      </c>
      <c r="E559" s="57">
        <v>56</v>
      </c>
      <c r="F559" s="58">
        <f>ROUND(D559/4/E559,2)</f>
        <v>16.03</v>
      </c>
      <c r="G559" s="26">
        <f>ROUND(441.63/E559,2)</f>
        <v>7.89</v>
      </c>
      <c r="H559" s="45">
        <f>ROUND(897.51/E559,2)</f>
        <v>16.03</v>
      </c>
    </row>
    <row r="560" spans="1:8" s="13" customFormat="1" ht="15.95" customHeight="1">
      <c r="A560" s="27">
        <v>421</v>
      </c>
      <c r="B560" s="56" t="s">
        <v>806</v>
      </c>
      <c r="C560" s="16" t="s">
        <v>858</v>
      </c>
      <c r="D560" s="17">
        <v>4851.6000000000004</v>
      </c>
      <c r="E560" s="57">
        <v>163</v>
      </c>
      <c r="F560" s="58">
        <f>ROUND(D560/4/E560,2)</f>
        <v>7.44</v>
      </c>
      <c r="G560" s="26">
        <f>ROUND(482.49/E560,2)</f>
        <v>2.96</v>
      </c>
      <c r="H560" s="45">
        <f>ROUND(1212.9/E560,2)</f>
        <v>7.44</v>
      </c>
    </row>
    <row r="561" spans="1:8" s="13" customFormat="1" ht="15.95" customHeight="1">
      <c r="A561" s="54">
        <v>422</v>
      </c>
      <c r="B561" s="56" t="s">
        <v>695</v>
      </c>
      <c r="C561" s="16" t="s">
        <v>274</v>
      </c>
      <c r="D561" s="17">
        <v>4464</v>
      </c>
      <c r="E561" s="57">
        <v>102</v>
      </c>
      <c r="F561" s="58">
        <f>ROUND(D561/4/E561,2)</f>
        <v>10.94</v>
      </c>
      <c r="G561" s="26">
        <f>ROUND(451.2/E561,2)</f>
        <v>4.42</v>
      </c>
      <c r="H561" s="45">
        <f>ROUND(1116/E561,2)</f>
        <v>10.94</v>
      </c>
    </row>
    <row r="562" spans="1:8" s="13" customFormat="1" ht="15.95" customHeight="1">
      <c r="A562" s="27">
        <v>423</v>
      </c>
      <c r="B562" s="56" t="s">
        <v>696</v>
      </c>
      <c r="C562" s="16" t="s">
        <v>404</v>
      </c>
      <c r="D562" s="17">
        <v>3590</v>
      </c>
      <c r="E562" s="57">
        <v>39</v>
      </c>
      <c r="F562" s="58">
        <f>ROUND(D562/4/E562,2)</f>
        <v>23.01</v>
      </c>
      <c r="G562" s="26">
        <f>ROUND(441.63/E562,2)</f>
        <v>11.32</v>
      </c>
      <c r="H562" s="45">
        <f>ROUND(897.51/E562,2)</f>
        <v>23.01</v>
      </c>
    </row>
    <row r="563" spans="1:8" s="13" customFormat="1" ht="3.2" customHeight="1">
      <c r="A563" s="101">
        <v>424</v>
      </c>
      <c r="B563" s="92" t="s">
        <v>807</v>
      </c>
      <c r="C563" s="20" t="s">
        <v>275</v>
      </c>
      <c r="D563" s="69">
        <f>2702.6*4+3590</f>
        <v>14400.4</v>
      </c>
      <c r="E563" s="71">
        <f>35+35+36+35+37</f>
        <v>178</v>
      </c>
      <c r="F563" s="73">
        <f>ROUND(D563/4/E563,2)</f>
        <v>20.23</v>
      </c>
      <c r="G563" s="76">
        <f>ROUND(441.63*5/E563,2)</f>
        <v>12.41</v>
      </c>
      <c r="H563" s="65">
        <f>ROUND((675.66*4+897.51)/E563,2)</f>
        <v>20.23</v>
      </c>
    </row>
    <row r="564" spans="1:8" s="13" customFormat="1" ht="3.2" customHeight="1">
      <c r="A564" s="101"/>
      <c r="B564" s="98"/>
      <c r="C564" s="22" t="s">
        <v>275</v>
      </c>
      <c r="D564" s="77"/>
      <c r="E564" s="85"/>
      <c r="F564" s="81"/>
      <c r="G564" s="76"/>
      <c r="H564" s="65"/>
    </row>
    <row r="565" spans="1:8" s="13" customFormat="1" ht="3.2" customHeight="1">
      <c r="A565" s="101"/>
      <c r="B565" s="98"/>
      <c r="C565" s="22" t="s">
        <v>392</v>
      </c>
      <c r="D565" s="77"/>
      <c r="E565" s="85"/>
      <c r="F565" s="81"/>
      <c r="G565" s="76"/>
      <c r="H565" s="65"/>
    </row>
    <row r="566" spans="1:8" s="13" customFormat="1" ht="3.2" customHeight="1">
      <c r="A566" s="101"/>
      <c r="B566" s="98"/>
      <c r="C566" s="22" t="s">
        <v>392</v>
      </c>
      <c r="D566" s="77"/>
      <c r="E566" s="85"/>
      <c r="F566" s="81"/>
      <c r="G566" s="76"/>
      <c r="H566" s="65"/>
    </row>
    <row r="567" spans="1:8" s="13" customFormat="1" ht="3.2" customHeight="1">
      <c r="A567" s="101"/>
      <c r="B567" s="93"/>
      <c r="C567" s="23" t="s">
        <v>403</v>
      </c>
      <c r="D567" s="70"/>
      <c r="E567" s="72"/>
      <c r="F567" s="74"/>
      <c r="G567" s="76"/>
      <c r="H567" s="65"/>
    </row>
    <row r="568" spans="1:8" s="13" customFormat="1" ht="15.95" customHeight="1">
      <c r="A568" s="27">
        <v>425</v>
      </c>
      <c r="B568" s="56" t="s">
        <v>703</v>
      </c>
      <c r="C568" s="16" t="s">
        <v>265</v>
      </c>
      <c r="D568" s="17">
        <v>4851.6000000000004</v>
      </c>
      <c r="E568" s="57">
        <v>177</v>
      </c>
      <c r="F568" s="58">
        <f>ROUND(D568/4/E568,2)</f>
        <v>6.85</v>
      </c>
      <c r="G568" s="19">
        <f>ROUND(452.88/E568,2)</f>
        <v>2.56</v>
      </c>
      <c r="H568" s="45">
        <f>ROUND(1212.9/E568,2)</f>
        <v>6.85</v>
      </c>
    </row>
    <row r="569" spans="1:8" s="13" customFormat="1" ht="15.95" customHeight="1">
      <c r="A569" s="27">
        <v>426</v>
      </c>
      <c r="B569" s="56" t="s">
        <v>702</v>
      </c>
      <c r="C569" s="16" t="s">
        <v>274</v>
      </c>
      <c r="D569" s="17">
        <v>4464</v>
      </c>
      <c r="E569" s="57">
        <v>119</v>
      </c>
      <c r="F569" s="58">
        <f>ROUND(D569/4/E569,2)</f>
        <v>9.3800000000000008</v>
      </c>
      <c r="G569" s="26">
        <f>ROUND(451.2/E569,2)</f>
        <v>3.79</v>
      </c>
      <c r="H569" s="45">
        <f>ROUND(1116/E569,2)</f>
        <v>9.3800000000000008</v>
      </c>
    </row>
    <row r="570" spans="1:8" s="13" customFormat="1" ht="15.75" customHeight="1">
      <c r="A570" s="27">
        <v>427</v>
      </c>
      <c r="B570" s="56" t="s">
        <v>701</v>
      </c>
      <c r="C570" s="16" t="s">
        <v>385</v>
      </c>
      <c r="D570" s="17">
        <v>4464</v>
      </c>
      <c r="E570" s="57">
        <v>111</v>
      </c>
      <c r="F570" s="58">
        <f>ROUND(D570/4/E570,2)</f>
        <v>10.050000000000001</v>
      </c>
      <c r="G570" s="26">
        <f>ROUND(451.2/E570,2)</f>
        <v>4.0599999999999996</v>
      </c>
      <c r="H570" s="45">
        <f>ROUND(1116/E570,2)</f>
        <v>10.050000000000001</v>
      </c>
    </row>
    <row r="571" spans="1:8" s="13" customFormat="1" ht="2.65" customHeight="1">
      <c r="A571" s="101">
        <v>428</v>
      </c>
      <c r="B571" s="95" t="s">
        <v>808</v>
      </c>
      <c r="C571" s="20" t="s">
        <v>404</v>
      </c>
      <c r="D571" s="69">
        <f>3590*5+4851.6</f>
        <v>22801.599999999999</v>
      </c>
      <c r="E571" s="71">
        <f>35+36+36+36+36</f>
        <v>179</v>
      </c>
      <c r="F571" s="73">
        <f>ROUND(D571/4/E571,2)</f>
        <v>31.85</v>
      </c>
      <c r="G571" s="76">
        <f>ROUND((441.63*5+452.88)/E571,2)</f>
        <v>14.87</v>
      </c>
      <c r="H571" s="65">
        <f>ROUND((897.51*5+1212.9)/E571,2)</f>
        <v>31.85</v>
      </c>
    </row>
    <row r="572" spans="1:8" s="13" customFormat="1" ht="2.65" customHeight="1">
      <c r="A572" s="101"/>
      <c r="B572" s="96"/>
      <c r="C572" s="22" t="s">
        <v>404</v>
      </c>
      <c r="D572" s="77"/>
      <c r="E572" s="85"/>
      <c r="F572" s="81"/>
      <c r="G572" s="76"/>
      <c r="H572" s="65"/>
    </row>
    <row r="573" spans="1:8" s="13" customFormat="1" ht="2.65" customHeight="1">
      <c r="A573" s="101"/>
      <c r="B573" s="96"/>
      <c r="C573" s="22" t="s">
        <v>404</v>
      </c>
      <c r="D573" s="77"/>
      <c r="E573" s="85"/>
      <c r="F573" s="81"/>
      <c r="G573" s="76"/>
      <c r="H573" s="65"/>
    </row>
    <row r="574" spans="1:8" s="13" customFormat="1" ht="2.65" customHeight="1">
      <c r="A574" s="101"/>
      <c r="B574" s="96"/>
      <c r="C574" s="22" t="s">
        <v>404</v>
      </c>
      <c r="D574" s="77"/>
      <c r="E574" s="85"/>
      <c r="F574" s="81"/>
      <c r="G574" s="76"/>
      <c r="H574" s="65"/>
    </row>
    <row r="575" spans="1:8" s="13" customFormat="1" ht="2.65" customHeight="1">
      <c r="A575" s="101"/>
      <c r="B575" s="96"/>
      <c r="C575" s="22" t="s">
        <v>404</v>
      </c>
      <c r="D575" s="77"/>
      <c r="E575" s="85"/>
      <c r="F575" s="81"/>
      <c r="G575" s="76"/>
      <c r="H575" s="65"/>
    </row>
    <row r="576" spans="1:8" s="13" customFormat="1" ht="3.75" customHeight="1">
      <c r="A576" s="101"/>
      <c r="B576" s="97"/>
      <c r="C576" s="23" t="s">
        <v>265</v>
      </c>
      <c r="D576" s="70"/>
      <c r="E576" s="72"/>
      <c r="F576" s="74"/>
      <c r="G576" s="76"/>
      <c r="H576" s="65"/>
    </row>
    <row r="577" spans="1:8" s="13" customFormat="1" ht="15.95" customHeight="1">
      <c r="A577" s="27">
        <v>429</v>
      </c>
      <c r="B577" s="56" t="s">
        <v>700</v>
      </c>
      <c r="C577" s="16" t="s">
        <v>859</v>
      </c>
      <c r="D577" s="17">
        <v>4038.8</v>
      </c>
      <c r="E577" s="57">
        <v>73</v>
      </c>
      <c r="F577" s="58">
        <f>ROUND(D577/4/E577,2)</f>
        <v>13.83</v>
      </c>
      <c r="G577" s="26">
        <f>ROUND(469.47/E577,2)</f>
        <v>6.43</v>
      </c>
      <c r="H577" s="45">
        <f t="shared" si="89"/>
        <v>13.83</v>
      </c>
    </row>
    <row r="578" spans="1:8" s="13" customFormat="1" ht="8.1" customHeight="1">
      <c r="A578" s="90">
        <v>430</v>
      </c>
      <c r="B578" s="92" t="s">
        <v>809</v>
      </c>
      <c r="C578" s="20" t="s">
        <v>261</v>
      </c>
      <c r="D578" s="82">
        <f>4038.8+4464</f>
        <v>8502.7999999999993</v>
      </c>
      <c r="E578" s="71">
        <f>72+108</f>
        <v>180</v>
      </c>
      <c r="F578" s="86">
        <f>ROUND(D578/4/E578,2)</f>
        <v>11.81</v>
      </c>
      <c r="G578" s="76">
        <f>ROUND((441.63+451.2)/E578,2)</f>
        <v>4.96</v>
      </c>
      <c r="H578" s="65">
        <f>ROUND((1009.71+1116)/E578,2)</f>
        <v>11.81</v>
      </c>
    </row>
    <row r="579" spans="1:8" s="13" customFormat="1" ht="8.1" customHeight="1">
      <c r="A579" s="94"/>
      <c r="B579" s="93"/>
      <c r="C579" s="23" t="s">
        <v>704</v>
      </c>
      <c r="D579" s="84"/>
      <c r="E579" s="72"/>
      <c r="F579" s="88"/>
      <c r="G579" s="76"/>
      <c r="H579" s="65"/>
    </row>
    <row r="580" spans="1:8" s="13" customFormat="1" ht="15.95" customHeight="1">
      <c r="A580" s="27">
        <v>431</v>
      </c>
      <c r="B580" s="56" t="s">
        <v>699</v>
      </c>
      <c r="C580" s="16" t="s">
        <v>860</v>
      </c>
      <c r="D580" s="17">
        <v>4038.8</v>
      </c>
      <c r="E580" s="57">
        <v>91</v>
      </c>
      <c r="F580" s="58">
        <f>ROUND(D580/4/E580,2)</f>
        <v>11.1</v>
      </c>
      <c r="G580" s="26">
        <f>ROUND(469.47/E580,2)</f>
        <v>5.16</v>
      </c>
      <c r="H580" s="45">
        <f t="shared" si="89"/>
        <v>11.1</v>
      </c>
    </row>
    <row r="581" spans="1:8" s="13" customFormat="1" ht="15.95" customHeight="1">
      <c r="A581" s="27">
        <v>432</v>
      </c>
      <c r="B581" s="56" t="s">
        <v>705</v>
      </c>
      <c r="C581" s="16" t="s">
        <v>410</v>
      </c>
      <c r="D581" s="17">
        <v>4038.8</v>
      </c>
      <c r="E581" s="57">
        <v>71</v>
      </c>
      <c r="F581" s="58">
        <f>ROUND(D581/4/E581,2)</f>
        <v>14.22</v>
      </c>
      <c r="G581" s="19">
        <f>ROUND(469.47/E581,2)</f>
        <v>6.61</v>
      </c>
      <c r="H581" s="45">
        <f t="shared" si="89"/>
        <v>14.22</v>
      </c>
    </row>
    <row r="582" spans="1:8" s="13" customFormat="1" ht="15.95" customHeight="1">
      <c r="A582" s="54">
        <v>433</v>
      </c>
      <c r="B582" s="56" t="s">
        <v>706</v>
      </c>
      <c r="C582" s="53" t="s">
        <v>411</v>
      </c>
      <c r="D582" s="17">
        <v>4038.8</v>
      </c>
      <c r="E582" s="27">
        <v>108</v>
      </c>
      <c r="F582" s="58">
        <f>ROUND(D582/4/E582,2)</f>
        <v>9.35</v>
      </c>
      <c r="G582" s="26">
        <f>ROUND(441.63/E582,2)</f>
        <v>4.09</v>
      </c>
      <c r="H582" s="45">
        <f t="shared" si="89"/>
        <v>9.35</v>
      </c>
    </row>
    <row r="583" spans="1:8" s="13" customFormat="1" ht="15.95" customHeight="1">
      <c r="A583" s="27">
        <v>434</v>
      </c>
      <c r="B583" s="41" t="s">
        <v>412</v>
      </c>
      <c r="C583" s="16" t="s">
        <v>16</v>
      </c>
      <c r="D583" s="17">
        <v>4038.8</v>
      </c>
      <c r="E583" s="60">
        <v>79</v>
      </c>
      <c r="F583" s="61">
        <f t="shared" ref="F583:F589" si="93">ROUND(D583/E583/4,2)</f>
        <v>12.78</v>
      </c>
      <c r="G583" s="62">
        <f>ROUND(441.63/E583,2)</f>
        <v>5.59</v>
      </c>
      <c r="H583" s="45">
        <f t="shared" si="89"/>
        <v>12.78</v>
      </c>
    </row>
    <row r="584" spans="1:8" s="13" customFormat="1" ht="15.95" customHeight="1">
      <c r="A584" s="54">
        <v>435</v>
      </c>
      <c r="B584" s="41" t="s">
        <v>413</v>
      </c>
      <c r="C584" s="63" t="s">
        <v>861</v>
      </c>
      <c r="D584" s="17">
        <v>4851.6000000000004</v>
      </c>
      <c r="E584" s="60">
        <v>143</v>
      </c>
      <c r="F584" s="61">
        <f t="shared" si="93"/>
        <v>8.48</v>
      </c>
      <c r="G584" s="26">
        <f>ROUND(452.88/E584,2)</f>
        <v>3.17</v>
      </c>
      <c r="H584" s="45">
        <f>ROUND(1212.9/E584,2)</f>
        <v>8.48</v>
      </c>
    </row>
    <row r="585" spans="1:8" s="13" customFormat="1" ht="15.95" customHeight="1">
      <c r="A585" s="27">
        <v>436</v>
      </c>
      <c r="B585" s="41" t="s">
        <v>414</v>
      </c>
      <c r="C585" s="16" t="s">
        <v>415</v>
      </c>
      <c r="D585" s="17">
        <v>4851.6000000000004</v>
      </c>
      <c r="E585" s="60">
        <v>180</v>
      </c>
      <c r="F585" s="61">
        <f t="shared" si="93"/>
        <v>6.74</v>
      </c>
      <c r="G585" s="19">
        <f>ROUND(452.88/E585,2)</f>
        <v>2.52</v>
      </c>
      <c r="H585" s="45">
        <f>ROUND(1212.9/E585,2)</f>
        <v>6.74</v>
      </c>
    </row>
    <row r="586" spans="1:8" s="13" customFormat="1" ht="15.95" customHeight="1">
      <c r="A586" s="54">
        <v>437</v>
      </c>
      <c r="B586" s="41" t="s">
        <v>416</v>
      </c>
      <c r="C586" s="63" t="s">
        <v>862</v>
      </c>
      <c r="D586" s="64">
        <v>2508.8000000000002</v>
      </c>
      <c r="E586" s="60">
        <v>1</v>
      </c>
      <c r="F586" s="61">
        <f t="shared" si="93"/>
        <v>627.20000000000005</v>
      </c>
      <c r="G586" s="62">
        <f>ROUND(441.63/E586,2)</f>
        <v>441.63</v>
      </c>
      <c r="H586" s="45">
        <f>ROUND(627.21/E586,2)</f>
        <v>627.21</v>
      </c>
    </row>
    <row r="587" spans="1:8" s="13" customFormat="1" ht="29.25" customHeight="1">
      <c r="A587" s="14">
        <v>438</v>
      </c>
      <c r="B587" s="41" t="s">
        <v>707</v>
      </c>
      <c r="C587" s="63" t="s">
        <v>863</v>
      </c>
      <c r="D587" s="64">
        <v>4038.8</v>
      </c>
      <c r="E587" s="60">
        <v>117</v>
      </c>
      <c r="F587" s="61">
        <f t="shared" si="93"/>
        <v>8.6300000000000008</v>
      </c>
      <c r="G587" s="62">
        <f>ROUND(441.63/E587,2)</f>
        <v>3.77</v>
      </c>
      <c r="H587" s="45">
        <f t="shared" ref="H587:H648" si="94">ROUND(1009.71/E587,2)</f>
        <v>8.6300000000000008</v>
      </c>
    </row>
    <row r="588" spans="1:8" s="13" customFormat="1" ht="30" customHeight="1">
      <c r="A588" s="14">
        <v>439</v>
      </c>
      <c r="B588" s="41" t="s">
        <v>847</v>
      </c>
      <c r="C588" s="63" t="s">
        <v>862</v>
      </c>
      <c r="D588" s="64">
        <v>2508.8000000000002</v>
      </c>
      <c r="E588" s="60">
        <v>1</v>
      </c>
      <c r="F588" s="61">
        <f t="shared" si="93"/>
        <v>627.20000000000005</v>
      </c>
      <c r="G588" s="62">
        <f>ROUND(441.63/E588,2)</f>
        <v>441.63</v>
      </c>
      <c r="H588" s="45">
        <f>ROUND(627.21/E588,2)</f>
        <v>627.21</v>
      </c>
    </row>
    <row r="589" spans="1:8" s="13" customFormat="1" ht="5.45" customHeight="1">
      <c r="A589" s="78">
        <v>440</v>
      </c>
      <c r="B589" s="95" t="s">
        <v>810</v>
      </c>
      <c r="C589" s="20" t="s">
        <v>49</v>
      </c>
      <c r="D589" s="82">
        <f>3590*3</f>
        <v>10770</v>
      </c>
      <c r="E589" s="108">
        <f>36+36+36</f>
        <v>108</v>
      </c>
      <c r="F589" s="86">
        <f t="shared" si="93"/>
        <v>24.93</v>
      </c>
      <c r="G589" s="113">
        <f>ROUND((441.63*2+469.47)/E589,2)</f>
        <v>12.53</v>
      </c>
      <c r="H589" s="65">
        <f>ROUND(897.51*3/E589,2)</f>
        <v>24.93</v>
      </c>
    </row>
    <row r="590" spans="1:8" s="13" customFormat="1" ht="5.45" customHeight="1">
      <c r="A590" s="79"/>
      <c r="B590" s="96"/>
      <c r="C590" s="22" t="s">
        <v>49</v>
      </c>
      <c r="D590" s="83"/>
      <c r="E590" s="109"/>
      <c r="F590" s="87"/>
      <c r="G590" s="113"/>
      <c r="H590" s="65"/>
    </row>
    <row r="591" spans="1:8" s="13" customFormat="1" ht="5.45" customHeight="1">
      <c r="A591" s="80"/>
      <c r="B591" s="97"/>
      <c r="C591" s="23" t="s">
        <v>40</v>
      </c>
      <c r="D591" s="84"/>
      <c r="E591" s="110"/>
      <c r="F591" s="88"/>
      <c r="G591" s="113"/>
      <c r="H591" s="65"/>
    </row>
    <row r="592" spans="1:8" s="13" customFormat="1" ht="15.95" customHeight="1">
      <c r="A592" s="14">
        <v>441</v>
      </c>
      <c r="B592" s="15" t="s">
        <v>417</v>
      </c>
      <c r="C592" s="16" t="s">
        <v>16</v>
      </c>
      <c r="D592" s="64">
        <v>4038.8</v>
      </c>
      <c r="E592" s="60">
        <v>80</v>
      </c>
      <c r="F592" s="61">
        <f t="shared" ref="F592:F602" si="95">ROUND(D592/E592/4,2)</f>
        <v>12.62</v>
      </c>
      <c r="G592" s="62">
        <f>ROUND(441.63/E592,2)</f>
        <v>5.52</v>
      </c>
      <c r="H592" s="45">
        <f t="shared" si="94"/>
        <v>12.62</v>
      </c>
    </row>
    <row r="593" spans="1:8" s="13" customFormat="1" ht="15.95" customHeight="1">
      <c r="A593" s="14">
        <v>442</v>
      </c>
      <c r="B593" s="15" t="s">
        <v>418</v>
      </c>
      <c r="C593" s="63" t="s">
        <v>864</v>
      </c>
      <c r="D593" s="64">
        <v>2702.6</v>
      </c>
      <c r="E593" s="60">
        <v>8</v>
      </c>
      <c r="F593" s="61">
        <f t="shared" si="95"/>
        <v>84.46</v>
      </c>
      <c r="G593" s="62">
        <f>ROUND(441.63/E593,2)</f>
        <v>55.2</v>
      </c>
      <c r="H593" s="45">
        <f>ROUND(675.66/E593,2)</f>
        <v>84.46</v>
      </c>
    </row>
    <row r="594" spans="1:8" s="13" customFormat="1" ht="15.95" customHeight="1">
      <c r="A594" s="14">
        <v>443</v>
      </c>
      <c r="B594" s="15" t="s">
        <v>419</v>
      </c>
      <c r="C594" s="63" t="s">
        <v>420</v>
      </c>
      <c r="D594" s="64">
        <v>2702.6</v>
      </c>
      <c r="E594" s="60">
        <v>54</v>
      </c>
      <c r="F594" s="61">
        <f t="shared" si="95"/>
        <v>12.51</v>
      </c>
      <c r="G594" s="62">
        <f>ROUND(467.97/E594,2)</f>
        <v>8.67</v>
      </c>
      <c r="H594" s="45">
        <f>ROUND(675.66/E594,2)</f>
        <v>12.51</v>
      </c>
    </row>
    <row r="595" spans="1:8" s="13" customFormat="1" ht="15.95" customHeight="1">
      <c r="A595" s="14">
        <v>444</v>
      </c>
      <c r="B595" s="15" t="s">
        <v>421</v>
      </c>
      <c r="C595" s="16" t="s">
        <v>16</v>
      </c>
      <c r="D595" s="64">
        <v>4038.8</v>
      </c>
      <c r="E595" s="60">
        <v>107</v>
      </c>
      <c r="F595" s="61">
        <f t="shared" si="95"/>
        <v>9.44</v>
      </c>
      <c r="G595" s="62">
        <f>ROUND(441.63/E595,2)</f>
        <v>4.13</v>
      </c>
      <c r="H595" s="45">
        <f t="shared" si="94"/>
        <v>9.44</v>
      </c>
    </row>
    <row r="596" spans="1:8" s="13" customFormat="1" ht="15.95" customHeight="1">
      <c r="A596" s="14">
        <v>445</v>
      </c>
      <c r="B596" s="15" t="s">
        <v>422</v>
      </c>
      <c r="C596" s="63" t="s">
        <v>133</v>
      </c>
      <c r="D596" s="64">
        <v>4038.8</v>
      </c>
      <c r="E596" s="60">
        <v>60</v>
      </c>
      <c r="F596" s="61">
        <f t="shared" si="95"/>
        <v>16.829999999999998</v>
      </c>
      <c r="G596" s="62">
        <f>ROUND(469.47/E596,2)</f>
        <v>7.82</v>
      </c>
      <c r="H596" s="45">
        <f t="shared" si="94"/>
        <v>16.829999999999998</v>
      </c>
    </row>
    <row r="597" spans="1:8" s="13" customFormat="1" ht="15.95" customHeight="1">
      <c r="A597" s="14">
        <v>446</v>
      </c>
      <c r="B597" s="15" t="s">
        <v>423</v>
      </c>
      <c r="C597" s="63" t="s">
        <v>864</v>
      </c>
      <c r="D597" s="64">
        <v>2702.6</v>
      </c>
      <c r="E597" s="60">
        <v>7</v>
      </c>
      <c r="F597" s="61">
        <f t="shared" si="95"/>
        <v>96.52</v>
      </c>
      <c r="G597" s="62">
        <f>ROUND(441.63/E597,2)</f>
        <v>63.09</v>
      </c>
      <c r="H597" s="45">
        <f>ROUND(675.66/E597,2)</f>
        <v>96.52</v>
      </c>
    </row>
    <row r="598" spans="1:8" s="13" customFormat="1" ht="15.95" customHeight="1">
      <c r="A598" s="14">
        <v>447</v>
      </c>
      <c r="B598" s="15" t="s">
        <v>424</v>
      </c>
      <c r="C598" s="16" t="s">
        <v>49</v>
      </c>
      <c r="D598" s="17">
        <v>3590</v>
      </c>
      <c r="E598" s="60">
        <v>15</v>
      </c>
      <c r="F598" s="61">
        <f t="shared" si="95"/>
        <v>59.83</v>
      </c>
      <c r="G598" s="62">
        <f>ROUND(441.63/E598,2)</f>
        <v>29.44</v>
      </c>
      <c r="H598" s="45">
        <f>ROUND(897.51/E598,2)</f>
        <v>59.83</v>
      </c>
    </row>
    <row r="599" spans="1:8" s="13" customFormat="1" ht="15.95" customHeight="1">
      <c r="A599" s="14">
        <v>448</v>
      </c>
      <c r="B599" s="15" t="s">
        <v>425</v>
      </c>
      <c r="C599" s="16" t="s">
        <v>426</v>
      </c>
      <c r="D599" s="64">
        <v>2702.6</v>
      </c>
      <c r="E599" s="60">
        <v>54</v>
      </c>
      <c r="F599" s="61">
        <f t="shared" si="95"/>
        <v>12.51</v>
      </c>
      <c r="G599" s="62">
        <f>ROUND(467.97,2)/E599</f>
        <v>8.6661111111111122</v>
      </c>
      <c r="H599" s="45">
        <f>ROUND(675.66/E599,2)</f>
        <v>12.51</v>
      </c>
    </row>
    <row r="600" spans="1:8" s="13" customFormat="1" ht="15.95" customHeight="1">
      <c r="A600" s="14">
        <v>449</v>
      </c>
      <c r="B600" s="15" t="s">
        <v>427</v>
      </c>
      <c r="C600" s="16" t="s">
        <v>428</v>
      </c>
      <c r="D600" s="64">
        <v>2702.6</v>
      </c>
      <c r="E600" s="60">
        <v>53</v>
      </c>
      <c r="F600" s="61">
        <f t="shared" si="95"/>
        <v>12.75</v>
      </c>
      <c r="G600" s="62">
        <f>ROUND(467.97/E600,2)</f>
        <v>8.83</v>
      </c>
      <c r="H600" s="45">
        <f>ROUND(675.66/E600,2)</f>
        <v>12.75</v>
      </c>
    </row>
    <row r="601" spans="1:8" s="13" customFormat="1" ht="15.95" customHeight="1">
      <c r="A601" s="14">
        <v>450</v>
      </c>
      <c r="B601" s="15" t="s">
        <v>429</v>
      </c>
      <c r="C601" s="63" t="s">
        <v>430</v>
      </c>
      <c r="D601" s="64">
        <v>4038.8</v>
      </c>
      <c r="E601" s="60">
        <v>34</v>
      </c>
      <c r="F601" s="61">
        <f t="shared" si="95"/>
        <v>29.7</v>
      </c>
      <c r="G601" s="19">
        <f>ROUND(469.47/E601,2)</f>
        <v>13.81</v>
      </c>
      <c r="H601" s="45">
        <f t="shared" si="94"/>
        <v>29.7</v>
      </c>
    </row>
    <row r="602" spans="1:8" s="13" customFormat="1" ht="8.1" customHeight="1">
      <c r="A602" s="78">
        <v>451</v>
      </c>
      <c r="B602" s="95" t="s">
        <v>811</v>
      </c>
      <c r="C602" s="20" t="s">
        <v>39</v>
      </c>
      <c r="D602" s="82">
        <f>4038.8*2</f>
        <v>8077.6</v>
      </c>
      <c r="E602" s="108">
        <f>72+70</f>
        <v>142</v>
      </c>
      <c r="F602" s="86">
        <f t="shared" si="95"/>
        <v>14.22</v>
      </c>
      <c r="G602" s="113">
        <f>ROUND(469.47*2/E602,2)</f>
        <v>6.61</v>
      </c>
      <c r="H602" s="65">
        <f>ROUND(1009.71*2/E602,2)</f>
        <v>14.22</v>
      </c>
    </row>
    <row r="603" spans="1:8" s="13" customFormat="1" ht="8.1" customHeight="1">
      <c r="A603" s="80"/>
      <c r="B603" s="97"/>
      <c r="C603" s="23" t="s">
        <v>431</v>
      </c>
      <c r="D603" s="84"/>
      <c r="E603" s="110"/>
      <c r="F603" s="88"/>
      <c r="G603" s="113"/>
      <c r="H603" s="65"/>
    </row>
    <row r="604" spans="1:8" s="13" customFormat="1" ht="15.95" customHeight="1">
      <c r="A604" s="14">
        <v>452</v>
      </c>
      <c r="B604" s="15" t="s">
        <v>432</v>
      </c>
      <c r="C604" s="63" t="s">
        <v>865</v>
      </c>
      <c r="D604" s="64">
        <v>4464</v>
      </c>
      <c r="E604" s="60">
        <v>144</v>
      </c>
      <c r="F604" s="61">
        <f t="shared" ref="F604:F667" si="96">ROUND(D604/E604/4,2)</f>
        <v>7.75</v>
      </c>
      <c r="G604" s="62">
        <f>ROUND(451.2/E604,2)</f>
        <v>3.13</v>
      </c>
      <c r="H604" s="45">
        <f>ROUND(1116/E604,2)</f>
        <v>7.75</v>
      </c>
    </row>
    <row r="605" spans="1:8" s="13" customFormat="1" ht="15.95" customHeight="1">
      <c r="A605" s="14">
        <v>453</v>
      </c>
      <c r="B605" s="15" t="s">
        <v>433</v>
      </c>
      <c r="C605" s="16" t="s">
        <v>49</v>
      </c>
      <c r="D605" s="17">
        <v>3590</v>
      </c>
      <c r="E605" s="60">
        <v>29</v>
      </c>
      <c r="F605" s="61">
        <f t="shared" si="96"/>
        <v>30.95</v>
      </c>
      <c r="G605" s="62">
        <f>ROUND(441.63/E605,2)</f>
        <v>15.23</v>
      </c>
      <c r="H605" s="45">
        <f>ROUND(897.51/E605,2)</f>
        <v>30.95</v>
      </c>
    </row>
    <row r="606" spans="1:8" s="13" customFormat="1" ht="15.95" customHeight="1">
      <c r="A606" s="14">
        <v>454</v>
      </c>
      <c r="B606" s="15" t="s">
        <v>434</v>
      </c>
      <c r="C606" s="63" t="s">
        <v>435</v>
      </c>
      <c r="D606" s="17">
        <v>3590</v>
      </c>
      <c r="E606" s="60">
        <v>46</v>
      </c>
      <c r="F606" s="61">
        <f t="shared" si="96"/>
        <v>19.510000000000002</v>
      </c>
      <c r="G606" s="62">
        <f>ROUND(441.63/E606,2)</f>
        <v>9.6</v>
      </c>
      <c r="H606" s="45">
        <f>ROUND(897.51/E606,2)</f>
        <v>19.510000000000002</v>
      </c>
    </row>
    <row r="607" spans="1:8" s="13" customFormat="1" ht="15.95" customHeight="1">
      <c r="A607" s="14">
        <v>455</v>
      </c>
      <c r="B607" s="15" t="s">
        <v>436</v>
      </c>
      <c r="C607" s="63" t="s">
        <v>864</v>
      </c>
      <c r="D607" s="64">
        <v>2702.6</v>
      </c>
      <c r="E607" s="60">
        <v>10</v>
      </c>
      <c r="F607" s="61">
        <f t="shared" si="96"/>
        <v>67.569999999999993</v>
      </c>
      <c r="G607" s="62">
        <f>ROUND(441.63/E607,2)</f>
        <v>44.16</v>
      </c>
      <c r="H607" s="45">
        <f>ROUND(675.66/E607,2)</f>
        <v>67.569999999999993</v>
      </c>
    </row>
    <row r="608" spans="1:8" s="13" customFormat="1" ht="15.95" customHeight="1">
      <c r="A608" s="14">
        <v>456</v>
      </c>
      <c r="B608" s="15" t="s">
        <v>437</v>
      </c>
      <c r="C608" s="63" t="s">
        <v>865</v>
      </c>
      <c r="D608" s="64">
        <v>4464</v>
      </c>
      <c r="E608" s="60">
        <v>134</v>
      </c>
      <c r="F608" s="61">
        <f t="shared" si="96"/>
        <v>8.33</v>
      </c>
      <c r="G608" s="62">
        <f>ROUND(451.2/E608,2)</f>
        <v>3.37</v>
      </c>
      <c r="H608" s="45">
        <f>ROUND(1116/E608,2)</f>
        <v>8.33</v>
      </c>
    </row>
    <row r="609" spans="1:8" s="13" customFormat="1" ht="15.95" customHeight="1">
      <c r="A609" s="14">
        <v>457</v>
      </c>
      <c r="B609" s="15" t="s">
        <v>438</v>
      </c>
      <c r="C609" s="63" t="s">
        <v>164</v>
      </c>
      <c r="D609" s="17">
        <v>3590</v>
      </c>
      <c r="E609" s="60">
        <v>48</v>
      </c>
      <c r="F609" s="61">
        <f t="shared" si="96"/>
        <v>18.7</v>
      </c>
      <c r="G609" s="62">
        <f>ROUND(469.47/E609,2)</f>
        <v>9.7799999999999994</v>
      </c>
      <c r="H609" s="45">
        <f>ROUND(897.51/E609,2)</f>
        <v>18.7</v>
      </c>
    </row>
    <row r="610" spans="1:8" s="13" customFormat="1" ht="15.95" customHeight="1">
      <c r="A610" s="14">
        <v>458</v>
      </c>
      <c r="B610" s="15" t="s">
        <v>439</v>
      </c>
      <c r="C610" s="63" t="s">
        <v>865</v>
      </c>
      <c r="D610" s="64">
        <v>4464</v>
      </c>
      <c r="E610" s="60">
        <v>104</v>
      </c>
      <c r="F610" s="61">
        <f t="shared" si="96"/>
        <v>10.73</v>
      </c>
      <c r="G610" s="62">
        <f t="shared" ref="G610:G611" si="97">ROUND(451.2/E610,2)</f>
        <v>4.34</v>
      </c>
      <c r="H610" s="45">
        <f>ROUND(1116/E610,2)</f>
        <v>10.73</v>
      </c>
    </row>
    <row r="611" spans="1:8" s="13" customFormat="1" ht="15.95" customHeight="1">
      <c r="A611" s="14">
        <v>459</v>
      </c>
      <c r="B611" s="15" t="s">
        <v>440</v>
      </c>
      <c r="C611" s="63" t="s">
        <v>865</v>
      </c>
      <c r="D611" s="64">
        <v>4464</v>
      </c>
      <c r="E611" s="60">
        <v>23</v>
      </c>
      <c r="F611" s="61">
        <f t="shared" si="96"/>
        <v>48.52</v>
      </c>
      <c r="G611" s="62">
        <f t="shared" si="97"/>
        <v>19.62</v>
      </c>
      <c r="H611" s="45">
        <f>ROUND(1116/E611,2)</f>
        <v>48.52</v>
      </c>
    </row>
    <row r="612" spans="1:8" s="13" customFormat="1" ht="15.95" customHeight="1">
      <c r="A612" s="14">
        <v>460</v>
      </c>
      <c r="B612" s="41" t="s">
        <v>812</v>
      </c>
      <c r="C612" s="16" t="s">
        <v>49</v>
      </c>
      <c r="D612" s="17">
        <v>3590</v>
      </c>
      <c r="E612" s="60">
        <v>39</v>
      </c>
      <c r="F612" s="61">
        <f t="shared" si="96"/>
        <v>23.01</v>
      </c>
      <c r="G612" s="62">
        <f t="shared" ref="G612:G613" si="98">ROUND(441.63/E612,2)</f>
        <v>11.32</v>
      </c>
      <c r="H612" s="45">
        <f>ROUND(897.51/E612,2)</f>
        <v>23.01</v>
      </c>
    </row>
    <row r="613" spans="1:8" s="13" customFormat="1" ht="15.95" customHeight="1">
      <c r="A613" s="14">
        <v>461</v>
      </c>
      <c r="B613" s="41" t="s">
        <v>441</v>
      </c>
      <c r="C613" s="16" t="s">
        <v>49</v>
      </c>
      <c r="D613" s="17">
        <v>3590</v>
      </c>
      <c r="E613" s="60">
        <v>73</v>
      </c>
      <c r="F613" s="61">
        <f t="shared" si="96"/>
        <v>12.29</v>
      </c>
      <c r="G613" s="62">
        <f t="shared" si="98"/>
        <v>6.05</v>
      </c>
      <c r="H613" s="45">
        <f>ROUND(897.51/E613,2)</f>
        <v>12.29</v>
      </c>
    </row>
    <row r="614" spans="1:8" s="13" customFormat="1" ht="15.95" customHeight="1">
      <c r="A614" s="14">
        <v>462</v>
      </c>
      <c r="B614" s="41" t="s">
        <v>813</v>
      </c>
      <c r="C614" s="63" t="s">
        <v>866</v>
      </c>
      <c r="D614" s="64">
        <f>4038.8*2</f>
        <v>8077.6</v>
      </c>
      <c r="E614" s="60">
        <f>72+64</f>
        <v>136</v>
      </c>
      <c r="F614" s="61">
        <f t="shared" si="96"/>
        <v>14.85</v>
      </c>
      <c r="G614" s="62">
        <f>ROUND(441.63*2/136,2)</f>
        <v>6.49</v>
      </c>
      <c r="H614" s="45">
        <f>ROUND(1009.71*2/E614,2)</f>
        <v>14.85</v>
      </c>
    </row>
    <row r="615" spans="1:8" s="13" customFormat="1" ht="15.95" customHeight="1">
      <c r="A615" s="14">
        <v>463</v>
      </c>
      <c r="B615" s="41" t="s">
        <v>442</v>
      </c>
      <c r="C615" s="63" t="s">
        <v>867</v>
      </c>
      <c r="D615" s="17">
        <v>3590</v>
      </c>
      <c r="E615" s="60">
        <v>43</v>
      </c>
      <c r="F615" s="61">
        <f t="shared" si="96"/>
        <v>20.87</v>
      </c>
      <c r="G615" s="62">
        <f>ROUND(441.63/E615,2)</f>
        <v>10.27</v>
      </c>
      <c r="H615" s="45">
        <f>ROUND(897.51/E615,2)</f>
        <v>20.87</v>
      </c>
    </row>
    <row r="616" spans="1:8" s="13" customFormat="1" ht="15.95" customHeight="1">
      <c r="A616" s="14">
        <v>464</v>
      </c>
      <c r="B616" s="41" t="s">
        <v>443</v>
      </c>
      <c r="C616" s="63" t="s">
        <v>867</v>
      </c>
      <c r="D616" s="17">
        <v>3590</v>
      </c>
      <c r="E616" s="60">
        <v>25</v>
      </c>
      <c r="F616" s="61">
        <f t="shared" si="96"/>
        <v>35.9</v>
      </c>
      <c r="G616" s="62">
        <f>ROUND(441.63/E616,2)</f>
        <v>17.670000000000002</v>
      </c>
      <c r="H616" s="45">
        <f t="shared" ref="H616:H617" si="99">ROUND(897.51/E616,2)</f>
        <v>35.9</v>
      </c>
    </row>
    <row r="617" spans="1:8" s="13" customFormat="1" ht="15.95" customHeight="1">
      <c r="A617" s="14">
        <v>465</v>
      </c>
      <c r="B617" s="41" t="s">
        <v>444</v>
      </c>
      <c r="C617" s="16" t="s">
        <v>49</v>
      </c>
      <c r="D617" s="17">
        <v>3590</v>
      </c>
      <c r="E617" s="60">
        <v>14</v>
      </c>
      <c r="F617" s="61">
        <f t="shared" si="96"/>
        <v>64.11</v>
      </c>
      <c r="G617" s="62">
        <f>ROUND(441.63/E617,2)</f>
        <v>31.55</v>
      </c>
      <c r="H617" s="45">
        <f t="shared" si="99"/>
        <v>64.11</v>
      </c>
    </row>
    <row r="618" spans="1:8" s="13" customFormat="1" ht="15.95" customHeight="1">
      <c r="A618" s="14">
        <v>466</v>
      </c>
      <c r="B618" s="41" t="s">
        <v>445</v>
      </c>
      <c r="C618" s="63" t="s">
        <v>446</v>
      </c>
      <c r="D618" s="64">
        <v>4038.8</v>
      </c>
      <c r="E618" s="60">
        <v>25</v>
      </c>
      <c r="F618" s="61">
        <f t="shared" si="96"/>
        <v>40.39</v>
      </c>
      <c r="G618" s="19">
        <f>ROUND(469.47/E618,2)</f>
        <v>18.78</v>
      </c>
      <c r="H618" s="45">
        <f t="shared" si="94"/>
        <v>40.39</v>
      </c>
    </row>
    <row r="619" spans="1:8" s="13" customFormat="1" ht="15.95" customHeight="1">
      <c r="A619" s="14">
        <v>467</v>
      </c>
      <c r="B619" s="41" t="s">
        <v>447</v>
      </c>
      <c r="C619" s="16" t="s">
        <v>16</v>
      </c>
      <c r="D619" s="64">
        <v>4038.8</v>
      </c>
      <c r="E619" s="60">
        <v>17</v>
      </c>
      <c r="F619" s="61">
        <f t="shared" si="96"/>
        <v>59.39</v>
      </c>
      <c r="G619" s="62">
        <f>ROUND(441.63/E619,2)</f>
        <v>25.98</v>
      </c>
      <c r="H619" s="45">
        <f t="shared" si="94"/>
        <v>59.39</v>
      </c>
    </row>
    <row r="620" spans="1:8" s="13" customFormat="1" ht="15.95" customHeight="1">
      <c r="A620" s="14">
        <v>468</v>
      </c>
      <c r="B620" s="41" t="s">
        <v>448</v>
      </c>
      <c r="C620" s="63" t="s">
        <v>868</v>
      </c>
      <c r="D620" s="64">
        <v>4464</v>
      </c>
      <c r="E620" s="60">
        <v>107</v>
      </c>
      <c r="F620" s="61">
        <f t="shared" si="96"/>
        <v>10.43</v>
      </c>
      <c r="G620" s="62">
        <f>ROUND(451.2/E620,2)</f>
        <v>4.22</v>
      </c>
      <c r="H620" s="45">
        <f>ROUND(1116/E620,2)</f>
        <v>10.43</v>
      </c>
    </row>
    <row r="621" spans="1:8" s="13" customFormat="1" ht="15.95" customHeight="1">
      <c r="A621" s="14">
        <v>469</v>
      </c>
      <c r="B621" s="41" t="s">
        <v>449</v>
      </c>
      <c r="C621" s="16" t="s">
        <v>49</v>
      </c>
      <c r="D621" s="17">
        <v>3590</v>
      </c>
      <c r="E621" s="60">
        <v>34</v>
      </c>
      <c r="F621" s="61">
        <f t="shared" si="96"/>
        <v>26.4</v>
      </c>
      <c r="G621" s="62">
        <f>ROUND(441.63/E621,2)</f>
        <v>12.99</v>
      </c>
      <c r="H621" s="45">
        <f>ROUND(897.51/E621,2)</f>
        <v>26.4</v>
      </c>
    </row>
    <row r="622" spans="1:8" s="13" customFormat="1" ht="15.95" customHeight="1">
      <c r="A622" s="14">
        <v>470</v>
      </c>
      <c r="B622" s="41" t="s">
        <v>450</v>
      </c>
      <c r="C622" s="16" t="s">
        <v>49</v>
      </c>
      <c r="D622" s="17">
        <v>3590</v>
      </c>
      <c r="E622" s="60">
        <v>32</v>
      </c>
      <c r="F622" s="61">
        <f t="shared" si="96"/>
        <v>28.05</v>
      </c>
      <c r="G622" s="62">
        <f>ROUND(441.63/E622,2)</f>
        <v>13.8</v>
      </c>
      <c r="H622" s="45">
        <f>ROUND(897.51/E622,2)</f>
        <v>28.05</v>
      </c>
    </row>
    <row r="623" spans="1:8" s="13" customFormat="1" ht="8.1" customHeight="1">
      <c r="A623" s="78">
        <v>471</v>
      </c>
      <c r="B623" s="95" t="s">
        <v>846</v>
      </c>
      <c r="C623" s="20" t="s">
        <v>16</v>
      </c>
      <c r="D623" s="82">
        <f>3590+4038.8</f>
        <v>7628.8</v>
      </c>
      <c r="E623" s="108">
        <f>31+14</f>
        <v>45</v>
      </c>
      <c r="F623" s="86">
        <f t="shared" si="96"/>
        <v>42.38</v>
      </c>
      <c r="G623" s="113">
        <f>ROUND(441.63*2/E623,2)</f>
        <v>19.63</v>
      </c>
      <c r="H623" s="65">
        <f>ROUND((897.51+1009.71)/E623,2)</f>
        <v>42.38</v>
      </c>
    </row>
    <row r="624" spans="1:8" s="13" customFormat="1" ht="8.1" customHeight="1">
      <c r="A624" s="80"/>
      <c r="B624" s="97"/>
      <c r="C624" s="23" t="s">
        <v>867</v>
      </c>
      <c r="D624" s="84"/>
      <c r="E624" s="110"/>
      <c r="F624" s="88" t="e">
        <f t="shared" si="96"/>
        <v>#DIV/0!</v>
      </c>
      <c r="G624" s="113"/>
      <c r="H624" s="65"/>
    </row>
    <row r="625" spans="1:8" s="13" customFormat="1" ht="15.95" customHeight="1">
      <c r="A625" s="14">
        <v>472</v>
      </c>
      <c r="B625" s="15" t="s">
        <v>451</v>
      </c>
      <c r="C625" s="63" t="s">
        <v>869</v>
      </c>
      <c r="D625" s="64">
        <v>4038.8</v>
      </c>
      <c r="E625" s="60">
        <v>37</v>
      </c>
      <c r="F625" s="61">
        <f t="shared" si="96"/>
        <v>27.29</v>
      </c>
      <c r="G625" s="62">
        <f>ROUND(441.63/E625,2)</f>
        <v>11.94</v>
      </c>
      <c r="H625" s="45">
        <f t="shared" si="94"/>
        <v>27.29</v>
      </c>
    </row>
    <row r="626" spans="1:8" s="13" customFormat="1" ht="15.95" customHeight="1">
      <c r="A626" s="14">
        <v>473</v>
      </c>
      <c r="B626" s="41" t="s">
        <v>452</v>
      </c>
      <c r="C626" s="16" t="s">
        <v>16</v>
      </c>
      <c r="D626" s="64">
        <v>4038.8</v>
      </c>
      <c r="E626" s="60">
        <v>107</v>
      </c>
      <c r="F626" s="61">
        <f t="shared" si="96"/>
        <v>9.44</v>
      </c>
      <c r="G626" s="62">
        <f>ROUND(441.63/E626,2)</f>
        <v>4.13</v>
      </c>
      <c r="H626" s="45">
        <f t="shared" si="94"/>
        <v>9.44</v>
      </c>
    </row>
    <row r="627" spans="1:8" s="13" customFormat="1" ht="15.95" customHeight="1">
      <c r="A627" s="14">
        <v>474</v>
      </c>
      <c r="B627" s="41" t="s">
        <v>453</v>
      </c>
      <c r="C627" s="63" t="s">
        <v>869</v>
      </c>
      <c r="D627" s="64">
        <v>4038.8</v>
      </c>
      <c r="E627" s="60">
        <v>77</v>
      </c>
      <c r="F627" s="61">
        <f t="shared" si="96"/>
        <v>13.11</v>
      </c>
      <c r="G627" s="62">
        <f t="shared" ref="G627:G628" si="100">ROUND(441.63/E627,2)</f>
        <v>5.74</v>
      </c>
      <c r="H627" s="45">
        <f t="shared" si="94"/>
        <v>13.11</v>
      </c>
    </row>
    <row r="628" spans="1:8" s="13" customFormat="1" ht="15.95" customHeight="1">
      <c r="A628" s="14">
        <v>475</v>
      </c>
      <c r="B628" s="41" t="s">
        <v>454</v>
      </c>
      <c r="C628" s="63" t="s">
        <v>869</v>
      </c>
      <c r="D628" s="64">
        <v>4038.8</v>
      </c>
      <c r="E628" s="60">
        <v>71</v>
      </c>
      <c r="F628" s="61">
        <f t="shared" si="96"/>
        <v>14.22</v>
      </c>
      <c r="G628" s="62">
        <f t="shared" si="100"/>
        <v>6.22</v>
      </c>
      <c r="H628" s="45">
        <f t="shared" si="94"/>
        <v>14.22</v>
      </c>
    </row>
    <row r="629" spans="1:8" s="13" customFormat="1" ht="15.95" customHeight="1">
      <c r="A629" s="14">
        <v>476</v>
      </c>
      <c r="B629" s="41" t="s">
        <v>815</v>
      </c>
      <c r="C629" s="63" t="s">
        <v>868</v>
      </c>
      <c r="D629" s="64">
        <v>4464</v>
      </c>
      <c r="E629" s="60">
        <v>102</v>
      </c>
      <c r="F629" s="61">
        <f t="shared" si="96"/>
        <v>10.94</v>
      </c>
      <c r="G629" s="62">
        <f t="shared" ref="G629:G630" si="101">ROUND(451.2/E629,2)</f>
        <v>4.42</v>
      </c>
      <c r="H629" s="45">
        <f>ROUND(1116/E629,2)</f>
        <v>10.94</v>
      </c>
    </row>
    <row r="630" spans="1:8" s="13" customFormat="1" ht="15.95" customHeight="1">
      <c r="A630" s="14">
        <v>477</v>
      </c>
      <c r="B630" s="41" t="s">
        <v>455</v>
      </c>
      <c r="C630" s="63" t="s">
        <v>868</v>
      </c>
      <c r="D630" s="64">
        <v>4464</v>
      </c>
      <c r="E630" s="60">
        <v>41</v>
      </c>
      <c r="F630" s="61">
        <f t="shared" si="96"/>
        <v>27.22</v>
      </c>
      <c r="G630" s="62">
        <f t="shared" si="101"/>
        <v>11</v>
      </c>
      <c r="H630" s="45">
        <f>ROUND(1116/E630,2)</f>
        <v>27.22</v>
      </c>
    </row>
    <row r="631" spans="1:8" s="13" customFormat="1" ht="3.95" customHeight="1">
      <c r="A631" s="78">
        <v>478</v>
      </c>
      <c r="B631" s="95" t="s">
        <v>814</v>
      </c>
      <c r="C631" s="20" t="s">
        <v>869</v>
      </c>
      <c r="D631" s="82">
        <f>4038.8+3590*3</f>
        <v>14808.8</v>
      </c>
      <c r="E631" s="108">
        <f>71+35+36+35</f>
        <v>177</v>
      </c>
      <c r="F631" s="86">
        <f t="shared" si="96"/>
        <v>20.92</v>
      </c>
      <c r="G631" s="113">
        <f>ROUND((441.63*3+469.47)/E631,2)</f>
        <v>10.14</v>
      </c>
      <c r="H631" s="65">
        <f>ROUND((1009.71+897.51*3)/E631,2)</f>
        <v>20.92</v>
      </c>
    </row>
    <row r="632" spans="1:8" s="13" customFormat="1" ht="3.95" customHeight="1">
      <c r="A632" s="79"/>
      <c r="B632" s="96"/>
      <c r="C632" s="22" t="s">
        <v>867</v>
      </c>
      <c r="D632" s="83"/>
      <c r="E632" s="109"/>
      <c r="F632" s="87" t="e">
        <f t="shared" si="96"/>
        <v>#DIV/0!</v>
      </c>
      <c r="G632" s="113"/>
      <c r="H632" s="65"/>
    </row>
    <row r="633" spans="1:8" s="13" customFormat="1" ht="3.95" customHeight="1">
      <c r="A633" s="79"/>
      <c r="B633" s="96"/>
      <c r="C633" s="22" t="s">
        <v>867</v>
      </c>
      <c r="D633" s="83"/>
      <c r="E633" s="109"/>
      <c r="F633" s="87" t="e">
        <f t="shared" si="96"/>
        <v>#DIV/0!</v>
      </c>
      <c r="G633" s="113"/>
      <c r="H633" s="65"/>
    </row>
    <row r="634" spans="1:8" s="13" customFormat="1" ht="3.95" customHeight="1">
      <c r="A634" s="80"/>
      <c r="B634" s="97"/>
      <c r="C634" s="23" t="s">
        <v>456</v>
      </c>
      <c r="D634" s="84"/>
      <c r="E634" s="110"/>
      <c r="F634" s="88" t="e">
        <f t="shared" si="96"/>
        <v>#DIV/0!</v>
      </c>
      <c r="G634" s="113"/>
      <c r="H634" s="65"/>
    </row>
    <row r="635" spans="1:8" s="13" customFormat="1" ht="15.95" customHeight="1">
      <c r="A635" s="14">
        <v>479</v>
      </c>
      <c r="B635" s="41" t="s">
        <v>457</v>
      </c>
      <c r="C635" s="16" t="s">
        <v>49</v>
      </c>
      <c r="D635" s="17">
        <v>3590</v>
      </c>
      <c r="E635" s="60">
        <v>32</v>
      </c>
      <c r="F635" s="61">
        <f t="shared" si="96"/>
        <v>28.05</v>
      </c>
      <c r="G635" s="62">
        <f>ROUND(441.63/E635,2)</f>
        <v>13.8</v>
      </c>
      <c r="H635" s="45">
        <f>ROUND(897.51/E635,2)</f>
        <v>28.05</v>
      </c>
    </row>
    <row r="636" spans="1:8" s="13" customFormat="1" ht="15.95" customHeight="1">
      <c r="A636" s="14">
        <v>480</v>
      </c>
      <c r="B636" s="41" t="s">
        <v>458</v>
      </c>
      <c r="C636" s="63" t="s">
        <v>867</v>
      </c>
      <c r="D636" s="17">
        <v>3590</v>
      </c>
      <c r="E636" s="60">
        <v>20</v>
      </c>
      <c r="F636" s="61">
        <f t="shared" si="96"/>
        <v>44.88</v>
      </c>
      <c r="G636" s="62">
        <f t="shared" ref="G636:G639" si="102">ROUND(441.63/E636,2)</f>
        <v>22.08</v>
      </c>
      <c r="H636" s="45">
        <f>ROUND(897.51/E636,2)</f>
        <v>44.88</v>
      </c>
    </row>
    <row r="637" spans="1:8" s="13" customFormat="1" ht="15.95" customHeight="1">
      <c r="A637" s="14">
        <v>481</v>
      </c>
      <c r="B637" s="41" t="s">
        <v>459</v>
      </c>
      <c r="C637" s="63" t="s">
        <v>870</v>
      </c>
      <c r="D637" s="64">
        <v>2702.6</v>
      </c>
      <c r="E637" s="60">
        <v>8</v>
      </c>
      <c r="F637" s="61">
        <f t="shared" si="96"/>
        <v>84.46</v>
      </c>
      <c r="G637" s="62">
        <f t="shared" si="102"/>
        <v>55.2</v>
      </c>
      <c r="H637" s="45">
        <f>ROUND(675.66/E637,2)</f>
        <v>84.46</v>
      </c>
    </row>
    <row r="638" spans="1:8" s="13" customFormat="1" ht="15.95" customHeight="1">
      <c r="A638" s="14">
        <v>482</v>
      </c>
      <c r="B638" s="41" t="s">
        <v>460</v>
      </c>
      <c r="C638" s="16" t="s">
        <v>49</v>
      </c>
      <c r="D638" s="17">
        <v>3590</v>
      </c>
      <c r="E638" s="14">
        <v>35</v>
      </c>
      <c r="F638" s="61">
        <f t="shared" si="96"/>
        <v>25.64</v>
      </c>
      <c r="G638" s="62">
        <f>ROUND(441.63/E638,2)</f>
        <v>12.62</v>
      </c>
      <c r="H638" s="45">
        <f t="shared" ref="H638:H639" si="103">ROUND(897.51/E638,2)</f>
        <v>25.64</v>
      </c>
    </row>
    <row r="639" spans="1:8" s="13" customFormat="1" ht="15.95" customHeight="1">
      <c r="A639" s="14">
        <v>483</v>
      </c>
      <c r="B639" s="41" t="s">
        <v>461</v>
      </c>
      <c r="C639" s="16" t="s">
        <v>871</v>
      </c>
      <c r="D639" s="17">
        <v>3590</v>
      </c>
      <c r="E639" s="14">
        <v>29</v>
      </c>
      <c r="F639" s="61">
        <f t="shared" si="96"/>
        <v>30.95</v>
      </c>
      <c r="G639" s="62">
        <f t="shared" si="102"/>
        <v>15.23</v>
      </c>
      <c r="H639" s="45">
        <f t="shared" si="103"/>
        <v>30.95</v>
      </c>
    </row>
    <row r="640" spans="1:8" s="13" customFormat="1" ht="15.95" customHeight="1">
      <c r="A640" s="14">
        <v>484</v>
      </c>
      <c r="B640" s="41" t="s">
        <v>462</v>
      </c>
      <c r="C640" s="16" t="s">
        <v>463</v>
      </c>
      <c r="D640" s="64">
        <v>4464</v>
      </c>
      <c r="E640" s="14">
        <v>179</v>
      </c>
      <c r="F640" s="61">
        <f t="shared" si="96"/>
        <v>6.23</v>
      </c>
      <c r="G640" s="26">
        <f>ROUND(451.2/E640,2)</f>
        <v>2.52</v>
      </c>
      <c r="H640" s="45">
        <f>ROUND(1116/E640,2)</f>
        <v>6.23</v>
      </c>
    </row>
    <row r="641" spans="1:8" s="13" customFormat="1" ht="15.95" customHeight="1">
      <c r="A641" s="14">
        <v>485</v>
      </c>
      <c r="B641" s="41" t="s">
        <v>464</v>
      </c>
      <c r="C641" s="16" t="s">
        <v>465</v>
      </c>
      <c r="D641" s="64">
        <v>4464</v>
      </c>
      <c r="E641" s="14">
        <v>142</v>
      </c>
      <c r="F641" s="61">
        <f t="shared" si="96"/>
        <v>7.86</v>
      </c>
      <c r="G641" s="62">
        <f>ROUND(482.49/E641,2)</f>
        <v>3.4</v>
      </c>
      <c r="H641" s="45">
        <f>ROUND(1116/E641,2)</f>
        <v>7.86</v>
      </c>
    </row>
    <row r="642" spans="1:8" s="13" customFormat="1" ht="15.95" customHeight="1">
      <c r="A642" s="14">
        <v>486</v>
      </c>
      <c r="B642" s="41" t="s">
        <v>466</v>
      </c>
      <c r="C642" s="16" t="s">
        <v>463</v>
      </c>
      <c r="D642" s="64">
        <v>4464</v>
      </c>
      <c r="E642" s="14">
        <v>142</v>
      </c>
      <c r="F642" s="61">
        <f t="shared" si="96"/>
        <v>7.86</v>
      </c>
      <c r="G642" s="26">
        <f>ROUND(451.2/E642,2)</f>
        <v>3.18</v>
      </c>
      <c r="H642" s="45">
        <f>ROUND(1116/E642,2)</f>
        <v>7.86</v>
      </c>
    </row>
    <row r="643" spans="1:8" s="13" customFormat="1" ht="15.95" customHeight="1">
      <c r="A643" s="14">
        <v>487</v>
      </c>
      <c r="B643" s="41" t="s">
        <v>845</v>
      </c>
      <c r="C643" s="16" t="s">
        <v>49</v>
      </c>
      <c r="D643" s="17">
        <v>3590</v>
      </c>
      <c r="E643" s="14">
        <v>55</v>
      </c>
      <c r="F643" s="61">
        <f t="shared" si="96"/>
        <v>16.32</v>
      </c>
      <c r="G643" s="62">
        <f>ROUND(441.63/E643,2)</f>
        <v>8.0299999999999994</v>
      </c>
      <c r="H643" s="45">
        <f>ROUND(897.51/E643,2)</f>
        <v>16.32</v>
      </c>
    </row>
    <row r="644" spans="1:8" s="13" customFormat="1" ht="16.5" customHeight="1">
      <c r="A644" s="27">
        <v>488</v>
      </c>
      <c r="B644" s="41" t="s">
        <v>816</v>
      </c>
      <c r="C644" s="16" t="s">
        <v>708</v>
      </c>
      <c r="D644" s="64">
        <f>3590*6+6410.8</f>
        <v>27950.799999999999</v>
      </c>
      <c r="E644" s="28">
        <f>36+36+36+36+36+36</f>
        <v>216</v>
      </c>
      <c r="F644" s="61">
        <f t="shared" si="96"/>
        <v>32.35</v>
      </c>
      <c r="G644" s="62">
        <f>ROUND((441.63*6+705.6)/E644,2)</f>
        <v>15.53</v>
      </c>
      <c r="H644" s="45">
        <f>ROUND((897.51*6+1602.69)/E644,2)</f>
        <v>32.35</v>
      </c>
    </row>
    <row r="645" spans="1:8" s="13" customFormat="1" ht="15.95" customHeight="1">
      <c r="A645" s="27">
        <v>489</v>
      </c>
      <c r="B645" s="41" t="s">
        <v>817</v>
      </c>
      <c r="C645" s="63" t="s">
        <v>709</v>
      </c>
      <c r="D645" s="64">
        <f>3590*3</f>
        <v>10770</v>
      </c>
      <c r="E645" s="27">
        <f>35+38+35</f>
        <v>108</v>
      </c>
      <c r="F645" s="61">
        <f t="shared" si="96"/>
        <v>24.93</v>
      </c>
      <c r="G645" s="62">
        <f>ROUND(441.63*3/E645,2)</f>
        <v>12.27</v>
      </c>
      <c r="H645" s="45">
        <f>ROUND(897.51*3/E645,2)</f>
        <v>24.93</v>
      </c>
    </row>
    <row r="646" spans="1:8" s="13" customFormat="1" ht="15.95" customHeight="1">
      <c r="A646" s="27">
        <v>490</v>
      </c>
      <c r="B646" s="41" t="s">
        <v>818</v>
      </c>
      <c r="C646" s="63" t="s">
        <v>872</v>
      </c>
      <c r="D646" s="64">
        <f>3590*2</f>
        <v>7180</v>
      </c>
      <c r="E646" s="27">
        <f>34+36</f>
        <v>70</v>
      </c>
      <c r="F646" s="61">
        <f t="shared" si="96"/>
        <v>25.64</v>
      </c>
      <c r="G646" s="62">
        <f>ROUND(441.63*2/E646,2)</f>
        <v>12.62</v>
      </c>
      <c r="H646" s="45">
        <f>ROUND(897.51*2/E646,2)</f>
        <v>25.64</v>
      </c>
    </row>
    <row r="647" spans="1:8" s="13" customFormat="1" ht="15.95" customHeight="1">
      <c r="A647" s="27">
        <v>491</v>
      </c>
      <c r="B647" s="15" t="s">
        <v>467</v>
      </c>
      <c r="C647" s="63" t="s">
        <v>101</v>
      </c>
      <c r="D647" s="64">
        <v>4038.8</v>
      </c>
      <c r="E647" s="27">
        <v>72</v>
      </c>
      <c r="F647" s="61">
        <f t="shared" si="96"/>
        <v>14.02</v>
      </c>
      <c r="G647" s="62">
        <f>ROUND(441.63/E647,2)</f>
        <v>6.13</v>
      </c>
      <c r="H647" s="45">
        <f t="shared" si="94"/>
        <v>14.02</v>
      </c>
    </row>
    <row r="648" spans="1:8" s="13" customFormat="1" ht="15.95" customHeight="1">
      <c r="A648" s="27">
        <v>492</v>
      </c>
      <c r="B648" s="15" t="s">
        <v>468</v>
      </c>
      <c r="C648" s="63" t="s">
        <v>873</v>
      </c>
      <c r="D648" s="64">
        <v>4038.8</v>
      </c>
      <c r="E648" s="27">
        <v>70</v>
      </c>
      <c r="F648" s="61">
        <f t="shared" si="96"/>
        <v>14.42</v>
      </c>
      <c r="G648" s="62">
        <f t="shared" ref="G648" si="104">ROUND(441.63/E648,2)</f>
        <v>6.31</v>
      </c>
      <c r="H648" s="45">
        <f t="shared" si="94"/>
        <v>14.42</v>
      </c>
    </row>
    <row r="649" spans="1:8" s="13" customFormat="1" ht="15.95" customHeight="1">
      <c r="A649" s="27">
        <v>493</v>
      </c>
      <c r="B649" s="41" t="s">
        <v>819</v>
      </c>
      <c r="C649" s="63" t="s">
        <v>710</v>
      </c>
      <c r="D649" s="64">
        <f>3590*2</f>
        <v>7180</v>
      </c>
      <c r="E649" s="27">
        <f>36+36</f>
        <v>72</v>
      </c>
      <c r="F649" s="61">
        <f t="shared" si="96"/>
        <v>24.93</v>
      </c>
      <c r="G649" s="62">
        <f>ROUND(441.63*2/E649,2)</f>
        <v>12.27</v>
      </c>
      <c r="H649" s="45">
        <f>ROUND(897.51*2/E649,2)</f>
        <v>24.93</v>
      </c>
    </row>
    <row r="650" spans="1:8" s="13" customFormat="1" ht="15.95" customHeight="1">
      <c r="A650" s="27">
        <v>494</v>
      </c>
      <c r="B650" s="41" t="s">
        <v>820</v>
      </c>
      <c r="C650" s="63" t="s">
        <v>710</v>
      </c>
      <c r="D650" s="64">
        <f>3590*2</f>
        <v>7180</v>
      </c>
      <c r="E650" s="27">
        <v>70</v>
      </c>
      <c r="F650" s="61">
        <f t="shared" si="96"/>
        <v>25.64</v>
      </c>
      <c r="G650" s="62">
        <f t="shared" ref="G650:G653" si="105">ROUND(441.63*2/E650,2)</f>
        <v>12.62</v>
      </c>
      <c r="H650" s="45">
        <f>ROUND(897.51*2/E650,2)</f>
        <v>25.64</v>
      </c>
    </row>
    <row r="651" spans="1:8" s="13" customFormat="1" ht="15.95" customHeight="1">
      <c r="A651" s="27">
        <v>495</v>
      </c>
      <c r="B651" s="41" t="s">
        <v>821</v>
      </c>
      <c r="C651" s="63" t="s">
        <v>711</v>
      </c>
      <c r="D651" s="64">
        <f>4038.8*2</f>
        <v>8077.6</v>
      </c>
      <c r="E651" s="27">
        <f>170+142</f>
        <v>312</v>
      </c>
      <c r="F651" s="61">
        <f t="shared" si="96"/>
        <v>6.47</v>
      </c>
      <c r="G651" s="62">
        <f t="shared" si="105"/>
        <v>2.83</v>
      </c>
      <c r="H651" s="45">
        <f>ROUND(1009.71*2/E651,2)</f>
        <v>6.47</v>
      </c>
    </row>
    <row r="652" spans="1:8" s="13" customFormat="1" ht="15.95" customHeight="1">
      <c r="A652" s="27">
        <v>496</v>
      </c>
      <c r="B652" s="41" t="s">
        <v>822</v>
      </c>
      <c r="C652" s="63" t="s">
        <v>710</v>
      </c>
      <c r="D652" s="64">
        <f>3590*2</f>
        <v>7180</v>
      </c>
      <c r="E652" s="27">
        <f>36+36</f>
        <v>72</v>
      </c>
      <c r="F652" s="61">
        <f t="shared" si="96"/>
        <v>24.93</v>
      </c>
      <c r="G652" s="62">
        <f t="shared" si="105"/>
        <v>12.27</v>
      </c>
      <c r="H652" s="45">
        <f>ROUND(897.51*2/E652,2)</f>
        <v>24.93</v>
      </c>
    </row>
    <row r="653" spans="1:8" s="13" customFormat="1" ht="15.95" customHeight="1">
      <c r="A653" s="27">
        <v>497</v>
      </c>
      <c r="B653" s="41" t="s">
        <v>823</v>
      </c>
      <c r="C653" s="63" t="s">
        <v>710</v>
      </c>
      <c r="D653" s="64">
        <f>3590*2</f>
        <v>7180</v>
      </c>
      <c r="E653" s="27">
        <f>36+36</f>
        <v>72</v>
      </c>
      <c r="F653" s="61">
        <f t="shared" si="96"/>
        <v>24.93</v>
      </c>
      <c r="G653" s="62">
        <f t="shared" si="105"/>
        <v>12.27</v>
      </c>
      <c r="H653" s="45">
        <f>ROUND(897.51*2/E653,2)</f>
        <v>24.93</v>
      </c>
    </row>
    <row r="654" spans="1:8" s="13" customFormat="1" ht="15.95" customHeight="1">
      <c r="A654" s="27">
        <v>498</v>
      </c>
      <c r="B654" s="41" t="s">
        <v>469</v>
      </c>
      <c r="C654" s="63" t="s">
        <v>873</v>
      </c>
      <c r="D654" s="64">
        <v>4038.8</v>
      </c>
      <c r="E654" s="27">
        <v>59</v>
      </c>
      <c r="F654" s="61">
        <f t="shared" si="96"/>
        <v>17.11</v>
      </c>
      <c r="G654" s="62">
        <f t="shared" ref="G654" si="106">ROUND(441.63/E654,2)</f>
        <v>7.49</v>
      </c>
      <c r="H654" s="45">
        <f t="shared" ref="H654:H710" si="107">ROUND(1009.71/E654,2)</f>
        <v>17.11</v>
      </c>
    </row>
    <row r="655" spans="1:8" s="13" customFormat="1" ht="15.95" customHeight="1">
      <c r="A655" s="27">
        <v>499</v>
      </c>
      <c r="B655" s="41" t="s">
        <v>470</v>
      </c>
      <c r="C655" s="63" t="s">
        <v>874</v>
      </c>
      <c r="D655" s="64">
        <v>4464</v>
      </c>
      <c r="E655" s="27">
        <v>201</v>
      </c>
      <c r="F655" s="61">
        <f t="shared" si="96"/>
        <v>5.55</v>
      </c>
      <c r="G655" s="62">
        <f t="shared" ref="G655" si="108">ROUND(451.2/E655,2)</f>
        <v>2.2400000000000002</v>
      </c>
      <c r="H655" s="45">
        <f>ROUND(1116/E655,2)</f>
        <v>5.55</v>
      </c>
    </row>
    <row r="656" spans="1:8" s="13" customFormat="1" ht="8.1" customHeight="1">
      <c r="A656" s="101">
        <v>500</v>
      </c>
      <c r="B656" s="95" t="s">
        <v>824</v>
      </c>
      <c r="C656" s="20" t="s">
        <v>471</v>
      </c>
      <c r="D656" s="82">
        <f>2702.6+4464</f>
        <v>7166.6</v>
      </c>
      <c r="E656" s="90">
        <f>36+71</f>
        <v>107</v>
      </c>
      <c r="F656" s="86">
        <f t="shared" si="96"/>
        <v>16.739999999999998</v>
      </c>
      <c r="G656" s="113">
        <f>ROUND((441.63+451.2)/E656,2)</f>
        <v>8.34</v>
      </c>
      <c r="H656" s="65">
        <f>ROUND((675.66+1116)/E656,2)</f>
        <v>16.739999999999998</v>
      </c>
    </row>
    <row r="657" spans="1:8" s="13" customFormat="1" ht="8.1" customHeight="1">
      <c r="A657" s="101"/>
      <c r="B657" s="97"/>
      <c r="C657" s="23" t="s">
        <v>463</v>
      </c>
      <c r="D657" s="84"/>
      <c r="E657" s="91"/>
      <c r="F657" s="88" t="e">
        <f t="shared" si="96"/>
        <v>#DIV/0!</v>
      </c>
      <c r="G657" s="113"/>
      <c r="H657" s="65"/>
    </row>
    <row r="658" spans="1:8" s="13" customFormat="1" ht="15.95" customHeight="1">
      <c r="A658" s="27">
        <v>501</v>
      </c>
      <c r="B658" s="41" t="s">
        <v>472</v>
      </c>
      <c r="C658" s="63" t="s">
        <v>875</v>
      </c>
      <c r="D658" s="64">
        <v>4038.8</v>
      </c>
      <c r="E658" s="27">
        <v>39</v>
      </c>
      <c r="F658" s="61">
        <f t="shared" si="96"/>
        <v>25.89</v>
      </c>
      <c r="G658" s="62">
        <f t="shared" ref="G658" si="109">ROUND(441.63/E658,2)</f>
        <v>11.32</v>
      </c>
      <c r="H658" s="45">
        <f t="shared" si="107"/>
        <v>25.89</v>
      </c>
    </row>
    <row r="659" spans="1:8" s="13" customFormat="1" ht="15.95" customHeight="1">
      <c r="A659" s="27">
        <v>502</v>
      </c>
      <c r="B659" s="41" t="s">
        <v>473</v>
      </c>
      <c r="C659" s="63" t="s">
        <v>876</v>
      </c>
      <c r="D659" s="17">
        <v>3590</v>
      </c>
      <c r="E659" s="27">
        <v>36</v>
      </c>
      <c r="F659" s="61">
        <f t="shared" si="96"/>
        <v>24.93</v>
      </c>
      <c r="G659" s="62">
        <f>ROUND(441.63/E659,2)</f>
        <v>12.27</v>
      </c>
      <c r="H659" s="45">
        <f>ROUND(897.51/E659,2)</f>
        <v>24.93</v>
      </c>
    </row>
    <row r="660" spans="1:8" s="13" customFormat="1" ht="15.95" customHeight="1">
      <c r="A660" s="27">
        <v>503</v>
      </c>
      <c r="B660" s="41" t="s">
        <v>474</v>
      </c>
      <c r="C660" s="63" t="s">
        <v>463</v>
      </c>
      <c r="D660" s="64">
        <v>4464</v>
      </c>
      <c r="E660" s="27">
        <v>39</v>
      </c>
      <c r="F660" s="61">
        <f t="shared" si="96"/>
        <v>28.62</v>
      </c>
      <c r="G660" s="62">
        <f>ROUND(451.2/E660,2)</f>
        <v>11.57</v>
      </c>
      <c r="H660" s="45">
        <f>ROUND(1116/E660,2)</f>
        <v>28.62</v>
      </c>
    </row>
    <row r="661" spans="1:8" s="13" customFormat="1" ht="15.95" customHeight="1">
      <c r="A661" s="27">
        <v>504</v>
      </c>
      <c r="B661" s="41" t="s">
        <v>475</v>
      </c>
      <c r="C661" s="63" t="s">
        <v>101</v>
      </c>
      <c r="D661" s="64">
        <v>4038.8</v>
      </c>
      <c r="E661" s="27">
        <v>58</v>
      </c>
      <c r="F661" s="61">
        <f t="shared" si="96"/>
        <v>17.41</v>
      </c>
      <c r="G661" s="62">
        <f>ROUND(441.63/E661,2)</f>
        <v>7.61</v>
      </c>
      <c r="H661" s="45">
        <f t="shared" si="107"/>
        <v>17.41</v>
      </c>
    </row>
    <row r="662" spans="1:8" s="13" customFormat="1" ht="15.95" customHeight="1">
      <c r="A662" s="27">
        <v>505</v>
      </c>
      <c r="B662" s="41" t="s">
        <v>476</v>
      </c>
      <c r="C662" s="63" t="s">
        <v>101</v>
      </c>
      <c r="D662" s="64">
        <v>4038.8</v>
      </c>
      <c r="E662" s="27">
        <v>80</v>
      </c>
      <c r="F662" s="61">
        <f t="shared" si="96"/>
        <v>12.62</v>
      </c>
      <c r="G662" s="62">
        <f t="shared" ref="G662:G663" si="110">ROUND(441.63/E662,2)</f>
        <v>5.52</v>
      </c>
      <c r="H662" s="45">
        <f t="shared" si="107"/>
        <v>12.62</v>
      </c>
    </row>
    <row r="663" spans="1:8" s="13" customFormat="1" ht="15.95" customHeight="1">
      <c r="A663" s="27">
        <v>506</v>
      </c>
      <c r="B663" s="41" t="s">
        <v>477</v>
      </c>
      <c r="C663" s="63" t="s">
        <v>101</v>
      </c>
      <c r="D663" s="64">
        <v>4038.8</v>
      </c>
      <c r="E663" s="27">
        <v>35</v>
      </c>
      <c r="F663" s="61">
        <f t="shared" si="96"/>
        <v>28.85</v>
      </c>
      <c r="G663" s="62">
        <f t="shared" si="110"/>
        <v>12.62</v>
      </c>
      <c r="H663" s="45">
        <f t="shared" si="107"/>
        <v>28.85</v>
      </c>
    </row>
    <row r="664" spans="1:8" s="13" customFormat="1" ht="15.95" customHeight="1">
      <c r="A664" s="27">
        <v>507</v>
      </c>
      <c r="B664" s="41" t="s">
        <v>478</v>
      </c>
      <c r="C664" s="63" t="s">
        <v>479</v>
      </c>
      <c r="D664" s="64">
        <v>4038.8</v>
      </c>
      <c r="E664" s="27">
        <v>107</v>
      </c>
      <c r="F664" s="61">
        <f t="shared" si="96"/>
        <v>9.44</v>
      </c>
      <c r="G664" s="62">
        <f>ROUND(469.47/E664,2)</f>
        <v>4.3899999999999997</v>
      </c>
      <c r="H664" s="45">
        <f t="shared" si="107"/>
        <v>9.44</v>
      </c>
    </row>
    <row r="665" spans="1:8" s="13" customFormat="1" ht="15.95" customHeight="1">
      <c r="A665" s="27">
        <v>508</v>
      </c>
      <c r="B665" s="41" t="s">
        <v>480</v>
      </c>
      <c r="C665" s="63" t="s">
        <v>863</v>
      </c>
      <c r="D665" s="64">
        <v>4038.8</v>
      </c>
      <c r="E665" s="27">
        <v>56</v>
      </c>
      <c r="F665" s="61">
        <f t="shared" si="96"/>
        <v>18.03</v>
      </c>
      <c r="G665" s="62">
        <f>ROUND(441.63/E665,2)</f>
        <v>7.89</v>
      </c>
      <c r="H665" s="45">
        <f t="shared" si="107"/>
        <v>18.03</v>
      </c>
    </row>
    <row r="666" spans="1:8" s="13" customFormat="1" ht="15.95" customHeight="1">
      <c r="A666" s="27">
        <v>509</v>
      </c>
      <c r="B666" s="41" t="s">
        <v>481</v>
      </c>
      <c r="C666" s="63" t="s">
        <v>463</v>
      </c>
      <c r="D666" s="64">
        <v>4464</v>
      </c>
      <c r="E666" s="27">
        <v>49</v>
      </c>
      <c r="F666" s="61">
        <f t="shared" si="96"/>
        <v>22.78</v>
      </c>
      <c r="G666" s="62">
        <f>ROUND(451.2/E666,2)</f>
        <v>9.2100000000000009</v>
      </c>
      <c r="H666" s="45">
        <f>ROUND(1116/E666,2)</f>
        <v>22.78</v>
      </c>
    </row>
    <row r="667" spans="1:8" s="13" customFormat="1" ht="15.95" customHeight="1">
      <c r="A667" s="27">
        <v>510</v>
      </c>
      <c r="B667" s="41" t="s">
        <v>482</v>
      </c>
      <c r="C667" s="63" t="s">
        <v>877</v>
      </c>
      <c r="D667" s="64">
        <v>4464</v>
      </c>
      <c r="E667" s="27">
        <v>48</v>
      </c>
      <c r="F667" s="61">
        <f t="shared" si="96"/>
        <v>23.25</v>
      </c>
      <c r="G667" s="19">
        <f t="shared" ref="G667:G668" si="111">ROUND(482.49/E667,2)</f>
        <v>10.050000000000001</v>
      </c>
      <c r="H667" s="45">
        <f t="shared" ref="H667:H668" si="112">ROUND(1116/E667,2)</f>
        <v>23.25</v>
      </c>
    </row>
    <row r="668" spans="1:8" s="13" customFormat="1" ht="15.95" customHeight="1">
      <c r="A668" s="27">
        <v>511</v>
      </c>
      <c r="B668" s="41" t="s">
        <v>483</v>
      </c>
      <c r="C668" s="63" t="s">
        <v>877</v>
      </c>
      <c r="D668" s="64">
        <v>4464</v>
      </c>
      <c r="E668" s="27">
        <v>44</v>
      </c>
      <c r="F668" s="61">
        <f t="shared" ref="F668:F700" si="113">ROUND(D668/E668/4,2)</f>
        <v>25.36</v>
      </c>
      <c r="G668" s="19">
        <f t="shared" si="111"/>
        <v>10.97</v>
      </c>
      <c r="H668" s="45">
        <f t="shared" si="112"/>
        <v>25.36</v>
      </c>
    </row>
    <row r="669" spans="1:8" s="13" customFormat="1" ht="15.95" customHeight="1">
      <c r="A669" s="27">
        <v>512</v>
      </c>
      <c r="B669" s="41" t="s">
        <v>484</v>
      </c>
      <c r="C669" s="63" t="s">
        <v>878</v>
      </c>
      <c r="D669" s="64">
        <v>4038.8</v>
      </c>
      <c r="E669" s="27">
        <v>60</v>
      </c>
      <c r="F669" s="61">
        <f t="shared" si="113"/>
        <v>16.829999999999998</v>
      </c>
      <c r="G669" s="62">
        <f>ROUND(469.47/E669,2)</f>
        <v>7.82</v>
      </c>
      <c r="H669" s="45">
        <f t="shared" si="107"/>
        <v>16.829999999999998</v>
      </c>
    </row>
    <row r="670" spans="1:8" s="13" customFormat="1" ht="15.95" customHeight="1">
      <c r="A670" s="27">
        <v>513</v>
      </c>
      <c r="B670" s="41" t="s">
        <v>485</v>
      </c>
      <c r="C670" s="63" t="s">
        <v>863</v>
      </c>
      <c r="D670" s="64">
        <v>4038.8</v>
      </c>
      <c r="E670" s="27">
        <v>56</v>
      </c>
      <c r="F670" s="61">
        <f t="shared" si="113"/>
        <v>18.03</v>
      </c>
      <c r="G670" s="62">
        <f>ROUND(441.63/E670,2)</f>
        <v>7.89</v>
      </c>
      <c r="H670" s="45">
        <f t="shared" si="107"/>
        <v>18.03</v>
      </c>
    </row>
    <row r="671" spans="1:8" s="13" customFormat="1" ht="15.95" customHeight="1">
      <c r="A671" s="27">
        <v>514</v>
      </c>
      <c r="B671" s="41" t="s">
        <v>486</v>
      </c>
      <c r="C671" s="63" t="s">
        <v>463</v>
      </c>
      <c r="D671" s="64">
        <v>4464</v>
      </c>
      <c r="E671" s="27">
        <v>79</v>
      </c>
      <c r="F671" s="61">
        <f t="shared" si="113"/>
        <v>14.13</v>
      </c>
      <c r="G671" s="62">
        <f>ROUND(451.2/E671,2)</f>
        <v>5.71</v>
      </c>
      <c r="H671" s="45">
        <f t="shared" ref="H671" si="114">ROUND(1116/E671,2)</f>
        <v>14.13</v>
      </c>
    </row>
    <row r="672" spans="1:8" s="13" customFormat="1" ht="15.95" customHeight="1">
      <c r="A672" s="27">
        <v>515</v>
      </c>
      <c r="B672" s="41" t="s">
        <v>487</v>
      </c>
      <c r="C672" s="63" t="s">
        <v>863</v>
      </c>
      <c r="D672" s="64">
        <v>4038.8</v>
      </c>
      <c r="E672" s="27">
        <v>60</v>
      </c>
      <c r="F672" s="61">
        <f t="shared" si="113"/>
        <v>16.829999999999998</v>
      </c>
      <c r="G672" s="62">
        <f t="shared" ref="G672:G673" si="115">ROUND(441.63/E672,2)</f>
        <v>7.36</v>
      </c>
      <c r="H672" s="45">
        <f t="shared" si="107"/>
        <v>16.829999999999998</v>
      </c>
    </row>
    <row r="673" spans="1:8" s="13" customFormat="1" ht="15.95" customHeight="1">
      <c r="A673" s="27">
        <v>516</v>
      </c>
      <c r="B673" s="41" t="s">
        <v>488</v>
      </c>
      <c r="C673" s="63" t="s">
        <v>863</v>
      </c>
      <c r="D673" s="64">
        <v>4038.8</v>
      </c>
      <c r="E673" s="27">
        <v>59</v>
      </c>
      <c r="F673" s="61">
        <f t="shared" si="113"/>
        <v>17.11</v>
      </c>
      <c r="G673" s="62">
        <f t="shared" si="115"/>
        <v>7.49</v>
      </c>
      <c r="H673" s="45">
        <f t="shared" si="107"/>
        <v>17.11</v>
      </c>
    </row>
    <row r="674" spans="1:8" s="13" customFormat="1" ht="15.95" customHeight="1">
      <c r="A674" s="27">
        <v>517</v>
      </c>
      <c r="B674" s="41" t="s">
        <v>825</v>
      </c>
      <c r="C674" s="63" t="s">
        <v>866</v>
      </c>
      <c r="D674" s="64">
        <f>4038.8*2</f>
        <v>8077.6</v>
      </c>
      <c r="E674" s="27">
        <f>71+58</f>
        <v>129</v>
      </c>
      <c r="F674" s="61">
        <f t="shared" si="113"/>
        <v>15.65</v>
      </c>
      <c r="G674" s="62">
        <f>ROUND(441.63*2/E674,2)</f>
        <v>6.85</v>
      </c>
      <c r="H674" s="45">
        <f>ROUND(1009.71*2/E674,2)</f>
        <v>15.65</v>
      </c>
    </row>
    <row r="675" spans="1:8" s="13" customFormat="1" ht="15.95" customHeight="1">
      <c r="A675" s="27">
        <v>518</v>
      </c>
      <c r="B675" s="41" t="s">
        <v>489</v>
      </c>
      <c r="C675" s="63" t="s">
        <v>463</v>
      </c>
      <c r="D675" s="64">
        <v>4464</v>
      </c>
      <c r="E675" s="27">
        <v>66</v>
      </c>
      <c r="F675" s="61">
        <f t="shared" si="113"/>
        <v>16.91</v>
      </c>
      <c r="G675" s="62">
        <f>ROUND(451.2/E675,2)</f>
        <v>6.84</v>
      </c>
      <c r="H675" s="45">
        <f t="shared" ref="H675" si="116">ROUND(1116/E675,2)</f>
        <v>16.91</v>
      </c>
    </row>
    <row r="676" spans="1:8" s="13" customFormat="1" ht="15.95" customHeight="1">
      <c r="A676" s="27">
        <v>519</v>
      </c>
      <c r="B676" s="41" t="s">
        <v>490</v>
      </c>
      <c r="C676" s="63" t="s">
        <v>875</v>
      </c>
      <c r="D676" s="64">
        <v>4038.8</v>
      </c>
      <c r="E676" s="27">
        <v>52</v>
      </c>
      <c r="F676" s="61">
        <f t="shared" si="113"/>
        <v>19.420000000000002</v>
      </c>
      <c r="G676" s="62">
        <f t="shared" ref="G676" si="117">ROUND(441.63/E676,2)</f>
        <v>8.49</v>
      </c>
      <c r="H676" s="45">
        <f t="shared" si="107"/>
        <v>19.420000000000002</v>
      </c>
    </row>
    <row r="677" spans="1:8" s="13" customFormat="1" ht="15.95" customHeight="1">
      <c r="A677" s="27">
        <v>520</v>
      </c>
      <c r="B677" s="41" t="s">
        <v>491</v>
      </c>
      <c r="C677" s="63" t="s">
        <v>463</v>
      </c>
      <c r="D677" s="64">
        <v>4464</v>
      </c>
      <c r="E677" s="27">
        <v>99</v>
      </c>
      <c r="F677" s="61">
        <f t="shared" si="113"/>
        <v>11.27</v>
      </c>
      <c r="G677" s="62">
        <f t="shared" ref="G677:G678" si="118">ROUND(451.2/E677,2)</f>
        <v>4.5599999999999996</v>
      </c>
      <c r="H677" s="45">
        <f t="shared" ref="H677:H678" si="119">ROUND(1116/E677,2)</f>
        <v>11.27</v>
      </c>
    </row>
    <row r="678" spans="1:8" s="13" customFormat="1" ht="15.95" customHeight="1">
      <c r="A678" s="27">
        <v>521</v>
      </c>
      <c r="B678" s="41" t="s">
        <v>492</v>
      </c>
      <c r="C678" s="63" t="s">
        <v>463</v>
      </c>
      <c r="D678" s="64">
        <v>4464</v>
      </c>
      <c r="E678" s="27">
        <v>89</v>
      </c>
      <c r="F678" s="61">
        <f t="shared" si="113"/>
        <v>12.54</v>
      </c>
      <c r="G678" s="62">
        <f t="shared" si="118"/>
        <v>5.07</v>
      </c>
      <c r="H678" s="45">
        <f t="shared" si="119"/>
        <v>12.54</v>
      </c>
    </row>
    <row r="679" spans="1:8" s="13" customFormat="1" ht="15.95" customHeight="1">
      <c r="A679" s="27">
        <v>522</v>
      </c>
      <c r="B679" s="41" t="s">
        <v>493</v>
      </c>
      <c r="C679" s="63" t="s">
        <v>101</v>
      </c>
      <c r="D679" s="64">
        <v>4038.8</v>
      </c>
      <c r="E679" s="27">
        <v>65</v>
      </c>
      <c r="F679" s="61">
        <f t="shared" si="113"/>
        <v>15.53</v>
      </c>
      <c r="G679" s="62">
        <f>ROUND(441.63/E679,2)</f>
        <v>6.79</v>
      </c>
      <c r="H679" s="45">
        <f t="shared" si="107"/>
        <v>15.53</v>
      </c>
    </row>
    <row r="680" spans="1:8" s="13" customFormat="1" ht="8.1" customHeight="1">
      <c r="A680" s="101">
        <v>523</v>
      </c>
      <c r="B680" s="95" t="s">
        <v>826</v>
      </c>
      <c r="C680" s="20" t="s">
        <v>49</v>
      </c>
      <c r="D680" s="82">
        <f>3590+4851.6</f>
        <v>8441.6</v>
      </c>
      <c r="E680" s="90">
        <f>31+158</f>
        <v>189</v>
      </c>
      <c r="F680" s="86">
        <f t="shared" si="113"/>
        <v>11.17</v>
      </c>
      <c r="G680" s="113">
        <f>ROUND((441.63+452.88)/E680,2)</f>
        <v>4.7300000000000004</v>
      </c>
      <c r="H680" s="65">
        <f>ROUND((897.51+1212.9)/E680,2)</f>
        <v>11.17</v>
      </c>
    </row>
    <row r="681" spans="1:8" s="13" customFormat="1" ht="8.1" customHeight="1">
      <c r="A681" s="101"/>
      <c r="B681" s="97"/>
      <c r="C681" s="23" t="s">
        <v>415</v>
      </c>
      <c r="D681" s="84"/>
      <c r="E681" s="91"/>
      <c r="F681" s="88" t="e">
        <f t="shared" si="113"/>
        <v>#DIV/0!</v>
      </c>
      <c r="G681" s="113"/>
      <c r="H681" s="65"/>
    </row>
    <row r="682" spans="1:8" s="13" customFormat="1" ht="15.95" customHeight="1">
      <c r="A682" s="27">
        <v>524</v>
      </c>
      <c r="B682" s="41" t="s">
        <v>494</v>
      </c>
      <c r="C682" s="63" t="s">
        <v>495</v>
      </c>
      <c r="D682" s="64">
        <v>2702.6</v>
      </c>
      <c r="E682" s="27">
        <v>19</v>
      </c>
      <c r="F682" s="61">
        <f t="shared" si="113"/>
        <v>35.56</v>
      </c>
      <c r="G682" s="62">
        <f>ROUND(467.97/E682,2)</f>
        <v>24.63</v>
      </c>
      <c r="H682" s="45">
        <f>ROUND(675.66/E682,2)</f>
        <v>35.56</v>
      </c>
    </row>
    <row r="683" spans="1:8" s="13" customFormat="1" ht="15.95" customHeight="1">
      <c r="A683" s="27">
        <v>525</v>
      </c>
      <c r="B683" s="41" t="s">
        <v>496</v>
      </c>
      <c r="C683" s="63" t="s">
        <v>49</v>
      </c>
      <c r="D683" s="64">
        <v>3590</v>
      </c>
      <c r="E683" s="27">
        <v>39</v>
      </c>
      <c r="F683" s="61">
        <f t="shared" si="113"/>
        <v>23.01</v>
      </c>
      <c r="G683" s="62">
        <f>ROUND(441.63/E683,2)</f>
        <v>11.32</v>
      </c>
      <c r="H683" s="45">
        <f>ROUND(897.51/E683,2)</f>
        <v>23.01</v>
      </c>
    </row>
    <row r="684" spans="1:8" s="13" customFormat="1" ht="15.95" customHeight="1">
      <c r="A684" s="27">
        <v>526</v>
      </c>
      <c r="B684" s="41" t="s">
        <v>497</v>
      </c>
      <c r="C684" s="63" t="s">
        <v>861</v>
      </c>
      <c r="D684" s="17">
        <v>4851.6000000000004</v>
      </c>
      <c r="E684" s="27">
        <v>180</v>
      </c>
      <c r="F684" s="61">
        <f t="shared" si="113"/>
        <v>6.74</v>
      </c>
      <c r="G684" s="26">
        <f>ROUND(452.88/E684,2)</f>
        <v>2.52</v>
      </c>
      <c r="H684" s="45">
        <f>ROUND(1212.9/E684,2)</f>
        <v>6.74</v>
      </c>
    </row>
    <row r="685" spans="1:8" s="13" customFormat="1" ht="15.95" customHeight="1">
      <c r="A685" s="27">
        <v>527</v>
      </c>
      <c r="B685" s="41" t="s">
        <v>498</v>
      </c>
      <c r="C685" s="63" t="s">
        <v>101</v>
      </c>
      <c r="D685" s="64">
        <v>4038.8</v>
      </c>
      <c r="E685" s="27">
        <v>71</v>
      </c>
      <c r="F685" s="61">
        <f t="shared" si="113"/>
        <v>14.22</v>
      </c>
      <c r="G685" s="62">
        <f>ROUND(441.63/E685,2)</f>
        <v>6.22</v>
      </c>
      <c r="H685" s="45">
        <f t="shared" si="107"/>
        <v>14.22</v>
      </c>
    </row>
    <row r="686" spans="1:8" s="13" customFormat="1" ht="15.95" customHeight="1">
      <c r="A686" s="27">
        <v>528</v>
      </c>
      <c r="B686" s="41" t="s">
        <v>499</v>
      </c>
      <c r="C686" s="63" t="s">
        <v>712</v>
      </c>
      <c r="D686" s="64">
        <v>4464</v>
      </c>
      <c r="E686" s="27">
        <v>70</v>
      </c>
      <c r="F686" s="61">
        <f t="shared" si="113"/>
        <v>15.94</v>
      </c>
      <c r="G686" s="26">
        <f>ROUND(482.49/E686,2)</f>
        <v>6.89</v>
      </c>
      <c r="H686" s="45">
        <f t="shared" ref="H686" si="120">ROUND(1116/E686,2)</f>
        <v>15.94</v>
      </c>
    </row>
    <row r="687" spans="1:8" s="13" customFormat="1" ht="15.95" customHeight="1">
      <c r="A687" s="27">
        <v>529</v>
      </c>
      <c r="B687" s="41" t="s">
        <v>500</v>
      </c>
      <c r="C687" s="63" t="s">
        <v>863</v>
      </c>
      <c r="D687" s="64">
        <v>4038.8</v>
      </c>
      <c r="E687" s="27">
        <v>78</v>
      </c>
      <c r="F687" s="61">
        <f t="shared" si="113"/>
        <v>12.94</v>
      </c>
      <c r="G687" s="62">
        <f>ROUND(441.63/E687,2)</f>
        <v>5.66</v>
      </c>
      <c r="H687" s="45">
        <f t="shared" si="107"/>
        <v>12.95</v>
      </c>
    </row>
    <row r="688" spans="1:8" s="13" customFormat="1" ht="15.95" customHeight="1">
      <c r="A688" s="27">
        <v>530</v>
      </c>
      <c r="B688" s="41" t="s">
        <v>501</v>
      </c>
      <c r="C688" s="63" t="s">
        <v>101</v>
      </c>
      <c r="D688" s="64">
        <v>4038.8</v>
      </c>
      <c r="E688" s="27">
        <v>67</v>
      </c>
      <c r="F688" s="61">
        <f t="shared" si="113"/>
        <v>15.07</v>
      </c>
      <c r="G688" s="62">
        <f>ROUND(441.63/E688,2)</f>
        <v>6.59</v>
      </c>
      <c r="H688" s="45">
        <f t="shared" si="107"/>
        <v>15.07</v>
      </c>
    </row>
    <row r="689" spans="1:8" s="13" customFormat="1" ht="15.95" customHeight="1">
      <c r="A689" s="27">
        <v>531</v>
      </c>
      <c r="B689" s="41" t="s">
        <v>502</v>
      </c>
      <c r="C689" s="63" t="s">
        <v>863</v>
      </c>
      <c r="D689" s="64">
        <v>4038.8</v>
      </c>
      <c r="E689" s="27">
        <v>60</v>
      </c>
      <c r="F689" s="61">
        <f t="shared" si="113"/>
        <v>16.829999999999998</v>
      </c>
      <c r="G689" s="62">
        <f>ROUND(441.63/E689,2)</f>
        <v>7.36</v>
      </c>
      <c r="H689" s="45">
        <f t="shared" si="107"/>
        <v>16.829999999999998</v>
      </c>
    </row>
    <row r="690" spans="1:8" s="13" customFormat="1" ht="15.95" customHeight="1">
      <c r="A690" s="27">
        <v>532</v>
      </c>
      <c r="B690" s="41" t="s">
        <v>503</v>
      </c>
      <c r="C690" s="63" t="s">
        <v>463</v>
      </c>
      <c r="D690" s="64">
        <v>4464</v>
      </c>
      <c r="E690" s="27">
        <v>106</v>
      </c>
      <c r="F690" s="61">
        <f t="shared" si="113"/>
        <v>10.53</v>
      </c>
      <c r="G690" s="62">
        <f>ROUND(451.2/E690,2)</f>
        <v>4.26</v>
      </c>
      <c r="H690" s="45">
        <f t="shared" ref="H690:H691" si="121">ROUND(1116/E690,2)</f>
        <v>10.53</v>
      </c>
    </row>
    <row r="691" spans="1:8" s="13" customFormat="1" ht="15.95" customHeight="1">
      <c r="A691" s="27">
        <v>533</v>
      </c>
      <c r="B691" s="41" t="s">
        <v>504</v>
      </c>
      <c r="C691" s="63" t="s">
        <v>865</v>
      </c>
      <c r="D691" s="64">
        <v>4464</v>
      </c>
      <c r="E691" s="27">
        <v>111</v>
      </c>
      <c r="F691" s="61">
        <f t="shared" si="113"/>
        <v>10.050000000000001</v>
      </c>
      <c r="G691" s="62">
        <f t="shared" ref="G691" si="122">ROUND(451.2/E691,2)</f>
        <v>4.0599999999999996</v>
      </c>
      <c r="H691" s="45">
        <f t="shared" si="121"/>
        <v>10.050000000000001</v>
      </c>
    </row>
    <row r="692" spans="1:8" s="13" customFormat="1" ht="15.95" customHeight="1">
      <c r="A692" s="27">
        <v>534</v>
      </c>
      <c r="B692" s="41" t="s">
        <v>505</v>
      </c>
      <c r="C692" s="63" t="s">
        <v>506</v>
      </c>
      <c r="D692" s="64">
        <v>4038.8</v>
      </c>
      <c r="E692" s="27">
        <v>114</v>
      </c>
      <c r="F692" s="61">
        <f t="shared" si="113"/>
        <v>8.86</v>
      </c>
      <c r="G692" s="62">
        <f>ROUND(441.63/E692,2)</f>
        <v>3.87</v>
      </c>
      <c r="H692" s="45">
        <f t="shared" si="107"/>
        <v>8.86</v>
      </c>
    </row>
    <row r="693" spans="1:8" s="13" customFormat="1" ht="15.95" customHeight="1">
      <c r="A693" s="27">
        <v>535</v>
      </c>
      <c r="B693" s="41" t="s">
        <v>507</v>
      </c>
      <c r="C693" s="63" t="s">
        <v>865</v>
      </c>
      <c r="D693" s="64">
        <v>4464</v>
      </c>
      <c r="E693" s="27">
        <v>110</v>
      </c>
      <c r="F693" s="61">
        <f t="shared" si="113"/>
        <v>10.15</v>
      </c>
      <c r="G693" s="62">
        <f t="shared" ref="G693:G694" si="123">ROUND(451.2/E693,2)</f>
        <v>4.0999999999999996</v>
      </c>
      <c r="H693" s="45">
        <f t="shared" ref="H693" si="124">ROUND(1116/E693,2)</f>
        <v>10.15</v>
      </c>
    </row>
    <row r="694" spans="1:8" s="13" customFormat="1" ht="15.95" customHeight="1">
      <c r="A694" s="27">
        <v>536</v>
      </c>
      <c r="B694" s="41" t="s">
        <v>508</v>
      </c>
      <c r="C694" s="63" t="s">
        <v>865</v>
      </c>
      <c r="D694" s="64">
        <v>4464</v>
      </c>
      <c r="E694" s="27">
        <v>112</v>
      </c>
      <c r="F694" s="61">
        <f t="shared" si="113"/>
        <v>9.9600000000000009</v>
      </c>
      <c r="G694" s="62">
        <f t="shared" si="123"/>
        <v>4.03</v>
      </c>
      <c r="H694" s="45">
        <f>ROUND(1116/E694,2)</f>
        <v>9.9600000000000009</v>
      </c>
    </row>
    <row r="695" spans="1:8" s="13" customFormat="1" ht="15.95" customHeight="1">
      <c r="A695" s="27">
        <v>537</v>
      </c>
      <c r="B695" s="41" t="s">
        <v>509</v>
      </c>
      <c r="C695" s="63" t="s">
        <v>479</v>
      </c>
      <c r="D695" s="64">
        <v>4038.8</v>
      </c>
      <c r="E695" s="27">
        <v>100</v>
      </c>
      <c r="F695" s="61">
        <f t="shared" si="113"/>
        <v>10.1</v>
      </c>
      <c r="G695" s="62">
        <f>ROUND(469.47/E695,2)</f>
        <v>4.6900000000000004</v>
      </c>
      <c r="H695" s="45">
        <f t="shared" si="107"/>
        <v>10.1</v>
      </c>
    </row>
    <row r="696" spans="1:8" s="13" customFormat="1" ht="15.95" customHeight="1">
      <c r="A696" s="27">
        <v>538</v>
      </c>
      <c r="B696" s="41" t="s">
        <v>510</v>
      </c>
      <c r="C696" s="63" t="s">
        <v>863</v>
      </c>
      <c r="D696" s="64">
        <v>4038.8</v>
      </c>
      <c r="E696" s="27">
        <v>63</v>
      </c>
      <c r="F696" s="61">
        <f t="shared" si="113"/>
        <v>16.03</v>
      </c>
      <c r="G696" s="62">
        <f>ROUND(441.63/E696,2)</f>
        <v>7.01</v>
      </c>
      <c r="H696" s="45">
        <f t="shared" si="107"/>
        <v>16.03</v>
      </c>
    </row>
    <row r="697" spans="1:8" s="13" customFormat="1" ht="15.95" customHeight="1">
      <c r="A697" s="27">
        <v>539</v>
      </c>
      <c r="B697" s="41" t="s">
        <v>511</v>
      </c>
      <c r="C697" s="63" t="s">
        <v>865</v>
      </c>
      <c r="D697" s="64">
        <v>4464</v>
      </c>
      <c r="E697" s="27">
        <v>110</v>
      </c>
      <c r="F697" s="61">
        <f t="shared" si="113"/>
        <v>10.15</v>
      </c>
      <c r="G697" s="62">
        <f t="shared" ref="G697:G698" si="125">ROUND(451.2/E697,2)</f>
        <v>4.0999999999999996</v>
      </c>
      <c r="H697" s="45">
        <f t="shared" ref="H697:H699" si="126">ROUND(1116/E697,2)</f>
        <v>10.15</v>
      </c>
    </row>
    <row r="698" spans="1:8" s="13" customFormat="1" ht="15.95" customHeight="1">
      <c r="A698" s="27">
        <v>540</v>
      </c>
      <c r="B698" s="41" t="s">
        <v>512</v>
      </c>
      <c r="C698" s="63" t="s">
        <v>865</v>
      </c>
      <c r="D698" s="64">
        <v>4464</v>
      </c>
      <c r="E698" s="27">
        <v>108</v>
      </c>
      <c r="F698" s="61">
        <f t="shared" si="113"/>
        <v>10.33</v>
      </c>
      <c r="G698" s="62">
        <f t="shared" si="125"/>
        <v>4.18</v>
      </c>
      <c r="H698" s="45">
        <f t="shared" si="126"/>
        <v>10.33</v>
      </c>
    </row>
    <row r="699" spans="1:8" s="13" customFormat="1" ht="15.95" customHeight="1">
      <c r="A699" s="27">
        <v>541</v>
      </c>
      <c r="B699" s="41" t="s">
        <v>513</v>
      </c>
      <c r="C699" s="63" t="s">
        <v>463</v>
      </c>
      <c r="D699" s="64">
        <v>4464</v>
      </c>
      <c r="E699" s="27">
        <v>107</v>
      </c>
      <c r="F699" s="61">
        <f t="shared" si="113"/>
        <v>10.43</v>
      </c>
      <c r="G699" s="62">
        <f>ROUND(451.2/E699,2)</f>
        <v>4.22</v>
      </c>
      <c r="H699" s="45">
        <f t="shared" si="126"/>
        <v>10.43</v>
      </c>
    </row>
    <row r="700" spans="1:8" s="13" customFormat="1" ht="15.95" customHeight="1">
      <c r="A700" s="27">
        <v>542</v>
      </c>
      <c r="B700" s="41" t="s">
        <v>514</v>
      </c>
      <c r="C700" s="63" t="s">
        <v>101</v>
      </c>
      <c r="D700" s="64">
        <v>4038.8</v>
      </c>
      <c r="E700" s="27">
        <v>71</v>
      </c>
      <c r="F700" s="61">
        <f t="shared" si="113"/>
        <v>14.22</v>
      </c>
      <c r="G700" s="62">
        <f>ROUND(441.63/E700,2)</f>
        <v>6.22</v>
      </c>
      <c r="H700" s="45">
        <f t="shared" si="107"/>
        <v>14.22</v>
      </c>
    </row>
    <row r="701" spans="1:8" s="13" customFormat="1" ht="8.1" customHeight="1">
      <c r="A701" s="101">
        <v>543</v>
      </c>
      <c r="B701" s="95" t="s">
        <v>827</v>
      </c>
      <c r="C701" s="20" t="s">
        <v>515</v>
      </c>
      <c r="D701" s="82">
        <f>2702.6*2</f>
        <v>5405.2</v>
      </c>
      <c r="E701" s="90">
        <f>36+35</f>
        <v>71</v>
      </c>
      <c r="F701" s="86">
        <f>ROUND(D701/E701/4,2)</f>
        <v>19.03</v>
      </c>
      <c r="G701" s="113">
        <f>ROUND((441.63+467.97)/E701,2)</f>
        <v>12.81</v>
      </c>
      <c r="H701" s="65">
        <f>ROUND(675.66*2/E701,2)</f>
        <v>19.03</v>
      </c>
    </row>
    <row r="702" spans="1:8" s="13" customFormat="1" ht="8.1" customHeight="1">
      <c r="A702" s="101"/>
      <c r="B702" s="97"/>
      <c r="C702" s="23" t="s">
        <v>471</v>
      </c>
      <c r="D702" s="84"/>
      <c r="E702" s="91"/>
      <c r="F702" s="88"/>
      <c r="G702" s="113"/>
      <c r="H702" s="65"/>
    </row>
    <row r="703" spans="1:8" s="13" customFormat="1" ht="15.95" customHeight="1">
      <c r="A703" s="27">
        <v>544</v>
      </c>
      <c r="B703" s="41" t="s">
        <v>516</v>
      </c>
      <c r="C703" s="63" t="s">
        <v>479</v>
      </c>
      <c r="D703" s="64">
        <v>4038.8</v>
      </c>
      <c r="E703" s="27">
        <v>99</v>
      </c>
      <c r="F703" s="61">
        <f t="shared" ref="F703:F706" si="127">ROUND(D703/E703/4,2)</f>
        <v>10.199999999999999</v>
      </c>
      <c r="G703" s="62">
        <f>ROUND(469.47/E703,2)</f>
        <v>4.74</v>
      </c>
      <c r="H703" s="45">
        <f t="shared" si="107"/>
        <v>10.199999999999999</v>
      </c>
    </row>
    <row r="704" spans="1:8" s="13" customFormat="1" ht="15.95" customHeight="1">
      <c r="A704" s="27">
        <v>545</v>
      </c>
      <c r="B704" s="41" t="s">
        <v>517</v>
      </c>
      <c r="C704" s="63" t="s">
        <v>865</v>
      </c>
      <c r="D704" s="64">
        <v>4464</v>
      </c>
      <c r="E704" s="27">
        <v>100</v>
      </c>
      <c r="F704" s="61">
        <f t="shared" si="127"/>
        <v>11.16</v>
      </c>
      <c r="G704" s="62">
        <f t="shared" ref="G704" si="128">ROUND(451.2/E704,2)</f>
        <v>4.51</v>
      </c>
      <c r="H704" s="45">
        <f t="shared" ref="H704" si="129">ROUND(1116/E704,2)</f>
        <v>11.16</v>
      </c>
    </row>
    <row r="705" spans="1:8" s="13" customFormat="1" ht="15.95" customHeight="1">
      <c r="A705" s="27">
        <v>546</v>
      </c>
      <c r="B705" s="41" t="s">
        <v>518</v>
      </c>
      <c r="C705" s="63" t="s">
        <v>101</v>
      </c>
      <c r="D705" s="64">
        <v>4038.8</v>
      </c>
      <c r="E705" s="27">
        <v>106</v>
      </c>
      <c r="F705" s="61">
        <f t="shared" si="127"/>
        <v>9.5299999999999994</v>
      </c>
      <c r="G705" s="62">
        <f>ROUND(441.63/E705,2)</f>
        <v>4.17</v>
      </c>
      <c r="H705" s="45">
        <f t="shared" si="107"/>
        <v>9.5299999999999994</v>
      </c>
    </row>
    <row r="706" spans="1:8" s="13" customFormat="1" ht="15.95" customHeight="1">
      <c r="A706" s="27">
        <v>547</v>
      </c>
      <c r="B706" s="41" t="s">
        <v>519</v>
      </c>
      <c r="C706" s="63" t="s">
        <v>865</v>
      </c>
      <c r="D706" s="64">
        <v>4464</v>
      </c>
      <c r="E706" s="27">
        <v>104</v>
      </c>
      <c r="F706" s="61">
        <f t="shared" si="127"/>
        <v>10.73</v>
      </c>
      <c r="G706" s="62">
        <f t="shared" ref="G706" si="130">ROUND(451.2/E706,2)</f>
        <v>4.34</v>
      </c>
      <c r="H706" s="45">
        <f t="shared" ref="H706" si="131">ROUND(1116/E706,2)</f>
        <v>10.73</v>
      </c>
    </row>
    <row r="707" spans="1:8" s="13" customFormat="1" ht="8.1" customHeight="1">
      <c r="A707" s="101">
        <v>548</v>
      </c>
      <c r="B707" s="95" t="s">
        <v>828</v>
      </c>
      <c r="C707" s="20" t="s">
        <v>49</v>
      </c>
      <c r="D707" s="82">
        <f>3590*2</f>
        <v>7180</v>
      </c>
      <c r="E707" s="90">
        <f>78+80</f>
        <v>158</v>
      </c>
      <c r="F707" s="86">
        <f>ROUND(D707/E707/4,2)</f>
        <v>11.36</v>
      </c>
      <c r="G707" s="113">
        <f>ROUND((441.63+469.47)/E707,2)</f>
        <v>5.77</v>
      </c>
      <c r="H707" s="65">
        <f>ROUND(897.51*2/E707,2)</f>
        <v>11.36</v>
      </c>
    </row>
    <row r="708" spans="1:8" s="13" customFormat="1" ht="8.1" customHeight="1">
      <c r="A708" s="101"/>
      <c r="B708" s="97"/>
      <c r="C708" s="23" t="s">
        <v>520</v>
      </c>
      <c r="D708" s="84"/>
      <c r="E708" s="91"/>
      <c r="F708" s="88"/>
      <c r="G708" s="113"/>
      <c r="H708" s="65"/>
    </row>
    <row r="709" spans="1:8" s="13" customFormat="1" ht="15.95" customHeight="1">
      <c r="A709" s="27">
        <v>549</v>
      </c>
      <c r="B709" s="41" t="s">
        <v>521</v>
      </c>
      <c r="C709" s="63" t="s">
        <v>101</v>
      </c>
      <c r="D709" s="64">
        <v>4038.8</v>
      </c>
      <c r="E709" s="27">
        <v>107</v>
      </c>
      <c r="F709" s="61">
        <f t="shared" ref="F709:F722" si="132">ROUND(D709/E709/4,2)</f>
        <v>9.44</v>
      </c>
      <c r="G709" s="62">
        <f>ROUND(441.63/E709,2)</f>
        <v>4.13</v>
      </c>
      <c r="H709" s="45">
        <f t="shared" si="107"/>
        <v>9.44</v>
      </c>
    </row>
    <row r="710" spans="1:8" s="13" customFormat="1" ht="15.95" customHeight="1">
      <c r="A710" s="27">
        <v>550</v>
      </c>
      <c r="B710" s="41" t="s">
        <v>522</v>
      </c>
      <c r="C710" s="63" t="s">
        <v>863</v>
      </c>
      <c r="D710" s="64">
        <v>4038.8</v>
      </c>
      <c r="E710" s="27">
        <v>119</v>
      </c>
      <c r="F710" s="61">
        <f t="shared" si="132"/>
        <v>8.48</v>
      </c>
      <c r="G710" s="62">
        <f>ROUND(441.63/E710,2)</f>
        <v>3.71</v>
      </c>
      <c r="H710" s="45">
        <f t="shared" si="107"/>
        <v>8.48</v>
      </c>
    </row>
    <row r="711" spans="1:8" s="13" customFormat="1" ht="15.95" customHeight="1">
      <c r="A711" s="27">
        <v>551</v>
      </c>
      <c r="B711" s="41" t="s">
        <v>523</v>
      </c>
      <c r="C711" s="63" t="s">
        <v>463</v>
      </c>
      <c r="D711" s="64">
        <v>4464</v>
      </c>
      <c r="E711" s="27">
        <v>79</v>
      </c>
      <c r="F711" s="61">
        <f t="shared" si="132"/>
        <v>14.13</v>
      </c>
      <c r="G711" s="62">
        <f>ROUND(451.2/E711,2)</f>
        <v>5.71</v>
      </c>
      <c r="H711" s="45">
        <f t="shared" ref="H711" si="133">ROUND(1116/E711,2)</f>
        <v>14.13</v>
      </c>
    </row>
    <row r="712" spans="1:8" s="13" customFormat="1" ht="15.95" customHeight="1">
      <c r="A712" s="27">
        <v>552</v>
      </c>
      <c r="B712" s="41" t="s">
        <v>830</v>
      </c>
      <c r="C712" s="63" t="s">
        <v>524</v>
      </c>
      <c r="D712" s="64">
        <v>4464</v>
      </c>
      <c r="E712" s="27">
        <v>88</v>
      </c>
      <c r="F712" s="61">
        <f t="shared" si="132"/>
        <v>12.68</v>
      </c>
      <c r="G712" s="62">
        <f>ROUND(482.49/E712,2)</f>
        <v>5.48</v>
      </c>
      <c r="H712" s="45">
        <f>ROUND(1116/E712,2)</f>
        <v>12.68</v>
      </c>
    </row>
    <row r="713" spans="1:8" s="13" customFormat="1" ht="15.95" customHeight="1">
      <c r="A713" s="27">
        <v>553</v>
      </c>
      <c r="B713" s="41" t="s">
        <v>829</v>
      </c>
      <c r="C713" s="63" t="s">
        <v>463</v>
      </c>
      <c r="D713" s="64">
        <v>4464</v>
      </c>
      <c r="E713" s="27">
        <v>149</v>
      </c>
      <c r="F713" s="61">
        <f t="shared" si="132"/>
        <v>7.49</v>
      </c>
      <c r="G713" s="62">
        <f>ROUND(451.2/E713,2)</f>
        <v>3.03</v>
      </c>
      <c r="H713" s="45">
        <f t="shared" ref="H713" si="134">ROUND(1116/E713,2)</f>
        <v>7.49</v>
      </c>
    </row>
    <row r="714" spans="1:8" s="13" customFormat="1" ht="15.95" customHeight="1">
      <c r="A714" s="27">
        <v>554</v>
      </c>
      <c r="B714" s="41" t="s">
        <v>525</v>
      </c>
      <c r="C714" s="63" t="s">
        <v>864</v>
      </c>
      <c r="D714" s="64">
        <v>2702.6</v>
      </c>
      <c r="E714" s="27">
        <v>15</v>
      </c>
      <c r="F714" s="61">
        <f t="shared" si="132"/>
        <v>45.04</v>
      </c>
      <c r="G714" s="62">
        <f t="shared" ref="G714:G715" si="135">ROUND(441.63/E714,2)</f>
        <v>29.44</v>
      </c>
      <c r="H714" s="45">
        <f>ROUND(675.66/E714,2)</f>
        <v>45.04</v>
      </c>
    </row>
    <row r="715" spans="1:8" s="13" customFormat="1" ht="15.95" customHeight="1">
      <c r="A715" s="27">
        <v>555</v>
      </c>
      <c r="B715" s="41" t="s">
        <v>526</v>
      </c>
      <c r="C715" s="63" t="s">
        <v>864</v>
      </c>
      <c r="D715" s="64">
        <v>2702.6</v>
      </c>
      <c r="E715" s="27">
        <v>10</v>
      </c>
      <c r="F715" s="61">
        <f t="shared" si="132"/>
        <v>67.569999999999993</v>
      </c>
      <c r="G715" s="62">
        <f t="shared" si="135"/>
        <v>44.16</v>
      </c>
      <c r="H715" s="45">
        <f>ROUND(675.66/E715,2)</f>
        <v>67.569999999999993</v>
      </c>
    </row>
    <row r="716" spans="1:8" s="13" customFormat="1" ht="15.95" customHeight="1">
      <c r="A716" s="27">
        <v>556</v>
      </c>
      <c r="B716" s="41" t="s">
        <v>527</v>
      </c>
      <c r="C716" s="63" t="s">
        <v>49</v>
      </c>
      <c r="D716" s="64">
        <v>3590</v>
      </c>
      <c r="E716" s="27">
        <v>57</v>
      </c>
      <c r="F716" s="61">
        <f t="shared" si="132"/>
        <v>15.75</v>
      </c>
      <c r="G716" s="62">
        <f>ROUND(441.63/E716,2)</f>
        <v>7.75</v>
      </c>
      <c r="H716" s="45">
        <f>ROUND(897.51/E716,2)</f>
        <v>15.75</v>
      </c>
    </row>
    <row r="717" spans="1:8" s="13" customFormat="1" ht="15.95" customHeight="1">
      <c r="A717" s="27">
        <v>557</v>
      </c>
      <c r="B717" s="41" t="s">
        <v>528</v>
      </c>
      <c r="C717" s="63" t="s">
        <v>863</v>
      </c>
      <c r="D717" s="64">
        <v>4038.8</v>
      </c>
      <c r="E717" s="27">
        <v>59</v>
      </c>
      <c r="F717" s="61">
        <f t="shared" si="132"/>
        <v>17.11</v>
      </c>
      <c r="G717" s="62">
        <f t="shared" ref="G717:G718" si="136">ROUND(441.63/E717,2)</f>
        <v>7.49</v>
      </c>
      <c r="H717" s="45">
        <f t="shared" ref="H717:H777" si="137">ROUND(1009.71/E717,2)</f>
        <v>17.11</v>
      </c>
    </row>
    <row r="718" spans="1:8" s="13" customFormat="1" ht="15.95" customHeight="1">
      <c r="A718" s="27">
        <v>558</v>
      </c>
      <c r="B718" s="41" t="s">
        <v>529</v>
      </c>
      <c r="C718" s="63" t="s">
        <v>864</v>
      </c>
      <c r="D718" s="64">
        <v>2702.6</v>
      </c>
      <c r="E718" s="27">
        <v>3</v>
      </c>
      <c r="F718" s="61">
        <f t="shared" si="132"/>
        <v>225.22</v>
      </c>
      <c r="G718" s="62">
        <f t="shared" si="136"/>
        <v>147.21</v>
      </c>
      <c r="H718" s="45">
        <f>ROUND(675.66/E718,2)</f>
        <v>225.22</v>
      </c>
    </row>
    <row r="719" spans="1:8" s="13" customFormat="1" ht="15.95" customHeight="1">
      <c r="A719" s="27">
        <v>559</v>
      </c>
      <c r="B719" s="41" t="s">
        <v>530</v>
      </c>
      <c r="C719" s="63" t="s">
        <v>865</v>
      </c>
      <c r="D719" s="64">
        <v>4464</v>
      </c>
      <c r="E719" s="27">
        <v>70</v>
      </c>
      <c r="F719" s="61">
        <f t="shared" si="132"/>
        <v>15.94</v>
      </c>
      <c r="G719" s="62">
        <f t="shared" ref="G719" si="138">ROUND(451.2/E719,2)</f>
        <v>6.45</v>
      </c>
      <c r="H719" s="45">
        <f t="shared" ref="H719" si="139">ROUND(1116/E719,2)</f>
        <v>15.94</v>
      </c>
    </row>
    <row r="720" spans="1:8" s="13" customFormat="1" ht="15.95" customHeight="1">
      <c r="A720" s="27">
        <v>560</v>
      </c>
      <c r="B720" s="41" t="s">
        <v>531</v>
      </c>
      <c r="C720" s="63" t="s">
        <v>863</v>
      </c>
      <c r="D720" s="64">
        <v>4038.8</v>
      </c>
      <c r="E720" s="27">
        <v>60</v>
      </c>
      <c r="F720" s="61">
        <f t="shared" si="132"/>
        <v>16.829999999999998</v>
      </c>
      <c r="G720" s="62">
        <f t="shared" ref="G720:G721" si="140">ROUND(441.63/E720,2)</f>
        <v>7.36</v>
      </c>
      <c r="H720" s="45">
        <f t="shared" si="137"/>
        <v>16.829999999999998</v>
      </c>
    </row>
    <row r="721" spans="1:8" s="13" customFormat="1" ht="15.95" customHeight="1">
      <c r="A721" s="27">
        <v>561</v>
      </c>
      <c r="B721" s="41" t="s">
        <v>532</v>
      </c>
      <c r="C721" s="63" t="s">
        <v>863</v>
      </c>
      <c r="D721" s="64">
        <v>4038.8</v>
      </c>
      <c r="E721" s="27">
        <v>43</v>
      </c>
      <c r="F721" s="61">
        <f t="shared" si="132"/>
        <v>23.48</v>
      </c>
      <c r="G721" s="62">
        <f t="shared" si="140"/>
        <v>10.27</v>
      </c>
      <c r="H721" s="45">
        <f t="shared" si="137"/>
        <v>23.48</v>
      </c>
    </row>
    <row r="722" spans="1:8" s="13" customFormat="1" ht="15.95" customHeight="1">
      <c r="A722" s="27">
        <v>562</v>
      </c>
      <c r="B722" s="41" t="s">
        <v>832</v>
      </c>
      <c r="C722" s="63" t="s">
        <v>101</v>
      </c>
      <c r="D722" s="64">
        <v>4038.8</v>
      </c>
      <c r="E722" s="27">
        <v>75</v>
      </c>
      <c r="F722" s="61">
        <f t="shared" si="132"/>
        <v>13.46</v>
      </c>
      <c r="G722" s="62">
        <f>ROUND(441.63/E722,2)</f>
        <v>5.89</v>
      </c>
      <c r="H722" s="45">
        <f t="shared" si="137"/>
        <v>13.46</v>
      </c>
    </row>
    <row r="723" spans="1:8" s="13" customFormat="1" ht="8.1" customHeight="1">
      <c r="A723" s="101">
        <v>563</v>
      </c>
      <c r="B723" s="95" t="s">
        <v>831</v>
      </c>
      <c r="C723" s="20" t="s">
        <v>864</v>
      </c>
      <c r="D723" s="82">
        <f>2702.6+4038.8</f>
        <v>6741.4</v>
      </c>
      <c r="E723" s="90">
        <f>24+70</f>
        <v>94</v>
      </c>
      <c r="F723" s="86">
        <f>ROUND(D723/E723/4,2)</f>
        <v>17.93</v>
      </c>
      <c r="G723" s="113">
        <f>ROUND(441.63*2/E723,2)</f>
        <v>9.4</v>
      </c>
      <c r="H723" s="65">
        <f>ROUND((1009.71+675.66)/E723,2)</f>
        <v>17.93</v>
      </c>
    </row>
    <row r="724" spans="1:8" s="13" customFormat="1" ht="8.1" customHeight="1">
      <c r="A724" s="101"/>
      <c r="B724" s="97"/>
      <c r="C724" s="23" t="s">
        <v>863</v>
      </c>
      <c r="D724" s="84"/>
      <c r="E724" s="91"/>
      <c r="F724" s="88"/>
      <c r="G724" s="113"/>
      <c r="H724" s="65"/>
    </row>
    <row r="725" spans="1:8" s="13" customFormat="1" ht="15.95" customHeight="1">
      <c r="A725" s="27">
        <v>564</v>
      </c>
      <c r="B725" s="41" t="s">
        <v>533</v>
      </c>
      <c r="C725" s="63" t="s">
        <v>463</v>
      </c>
      <c r="D725" s="64">
        <v>4464</v>
      </c>
      <c r="E725" s="27">
        <v>154</v>
      </c>
      <c r="F725" s="61">
        <f t="shared" ref="F725:F726" si="141">ROUND(D725/E725/4,2)</f>
        <v>7.25</v>
      </c>
      <c r="G725" s="62">
        <f>ROUND(451.2/E725,2)</f>
        <v>2.93</v>
      </c>
      <c r="H725" s="45">
        <f t="shared" ref="H725:H726" si="142">ROUND(1116/E725,2)</f>
        <v>7.25</v>
      </c>
    </row>
    <row r="726" spans="1:8" s="13" customFormat="1" ht="15.95" customHeight="1">
      <c r="A726" s="27">
        <v>565</v>
      </c>
      <c r="B726" s="41" t="s">
        <v>534</v>
      </c>
      <c r="C726" s="63" t="s">
        <v>877</v>
      </c>
      <c r="D726" s="64">
        <v>4464</v>
      </c>
      <c r="E726" s="27">
        <v>109</v>
      </c>
      <c r="F726" s="61">
        <f t="shared" si="141"/>
        <v>10.24</v>
      </c>
      <c r="G726" s="19">
        <f>ROUND(482.49/E726,2)</f>
        <v>4.43</v>
      </c>
      <c r="H726" s="45">
        <f t="shared" si="142"/>
        <v>10.24</v>
      </c>
    </row>
    <row r="727" spans="1:8" s="13" customFormat="1" ht="8.1" customHeight="1">
      <c r="A727" s="90">
        <v>566</v>
      </c>
      <c r="B727" s="95" t="s">
        <v>833</v>
      </c>
      <c r="C727" s="20" t="s">
        <v>864</v>
      </c>
      <c r="D727" s="82">
        <f>2702.6+4038.8</f>
        <v>6741.4</v>
      </c>
      <c r="E727" s="90">
        <f>36+36</f>
        <v>72</v>
      </c>
      <c r="F727" s="86">
        <f>ROUND(D727/E727/4,2)</f>
        <v>23.41</v>
      </c>
      <c r="G727" s="113">
        <f>ROUND(441.63*2/E727,2)</f>
        <v>12.27</v>
      </c>
      <c r="H727" s="65">
        <f>ROUND((1009.71+675.66)/E727,2)</f>
        <v>23.41</v>
      </c>
    </row>
    <row r="728" spans="1:8" s="13" customFormat="1" ht="8.1" customHeight="1">
      <c r="A728" s="94"/>
      <c r="B728" s="97"/>
      <c r="C728" s="23" t="s">
        <v>101</v>
      </c>
      <c r="D728" s="84"/>
      <c r="E728" s="91"/>
      <c r="F728" s="88"/>
      <c r="G728" s="113"/>
      <c r="H728" s="65"/>
    </row>
    <row r="729" spans="1:8" s="13" customFormat="1" ht="15.95" customHeight="1">
      <c r="A729" s="27">
        <v>567</v>
      </c>
      <c r="B729" s="41" t="s">
        <v>535</v>
      </c>
      <c r="C729" s="63" t="s">
        <v>536</v>
      </c>
      <c r="D729" s="64">
        <v>4464</v>
      </c>
      <c r="E729" s="27">
        <v>48</v>
      </c>
      <c r="F729" s="61">
        <f t="shared" ref="F729:F731" si="143">ROUND(D729/E729/4,2)</f>
        <v>23.25</v>
      </c>
      <c r="G729" s="26">
        <f>ROUND(482.49/E729,2)</f>
        <v>10.050000000000001</v>
      </c>
      <c r="H729" s="45">
        <f t="shared" ref="H729:H730" si="144">ROUND(1116/E729,2)</f>
        <v>23.25</v>
      </c>
    </row>
    <row r="730" spans="1:8" s="13" customFormat="1" ht="15.95" customHeight="1">
      <c r="A730" s="27">
        <v>568</v>
      </c>
      <c r="B730" s="41" t="s">
        <v>537</v>
      </c>
      <c r="C730" s="63" t="s">
        <v>865</v>
      </c>
      <c r="D730" s="64">
        <v>4464</v>
      </c>
      <c r="E730" s="27">
        <v>67</v>
      </c>
      <c r="F730" s="61">
        <f t="shared" si="143"/>
        <v>16.66</v>
      </c>
      <c r="G730" s="62">
        <f t="shared" ref="G730" si="145">ROUND(451.2/E730,2)</f>
        <v>6.73</v>
      </c>
      <c r="H730" s="45">
        <f t="shared" si="144"/>
        <v>16.66</v>
      </c>
    </row>
    <row r="731" spans="1:8" s="13" customFormat="1" ht="15.95" customHeight="1">
      <c r="A731" s="27">
        <v>569</v>
      </c>
      <c r="B731" s="41" t="s">
        <v>538</v>
      </c>
      <c r="C731" s="63" t="s">
        <v>539</v>
      </c>
      <c r="D731" s="64">
        <v>2702.6</v>
      </c>
      <c r="E731" s="27">
        <v>23</v>
      </c>
      <c r="F731" s="61">
        <f t="shared" si="143"/>
        <v>29.38</v>
      </c>
      <c r="G731" s="62">
        <f>ROUND(441.63/E731,2)</f>
        <v>19.2</v>
      </c>
      <c r="H731" s="45">
        <f>ROUND(675.66/E731,2)</f>
        <v>29.38</v>
      </c>
    </row>
    <row r="732" spans="1:8" s="13" customFormat="1" ht="8.1" customHeight="1">
      <c r="A732" s="90">
        <v>570</v>
      </c>
      <c r="B732" s="95" t="s">
        <v>834</v>
      </c>
      <c r="C732" s="20" t="s">
        <v>879</v>
      </c>
      <c r="D732" s="82">
        <f>4038.8+4464</f>
        <v>8502.7999999999993</v>
      </c>
      <c r="E732" s="90">
        <f>66+97</f>
        <v>163</v>
      </c>
      <c r="F732" s="86">
        <f>ROUND(D732/E732/4,2)</f>
        <v>13.04</v>
      </c>
      <c r="G732" s="113">
        <f>ROUND((441.63+451.2)/E732,2)</f>
        <v>5.48</v>
      </c>
      <c r="H732" s="65">
        <f>ROUND((1009.71+1116)/E732,2)</f>
        <v>13.04</v>
      </c>
    </row>
    <row r="733" spans="1:8" s="13" customFormat="1" ht="8.1" customHeight="1">
      <c r="A733" s="94"/>
      <c r="B733" s="97"/>
      <c r="C733" s="23" t="s">
        <v>101</v>
      </c>
      <c r="D733" s="84"/>
      <c r="E733" s="91"/>
      <c r="F733" s="88"/>
      <c r="G733" s="113"/>
      <c r="H733" s="65"/>
    </row>
    <row r="734" spans="1:8" s="13" customFormat="1" ht="15.95" customHeight="1">
      <c r="A734" s="27">
        <v>571</v>
      </c>
      <c r="B734" s="41" t="s">
        <v>854</v>
      </c>
      <c r="C734" s="63" t="s">
        <v>880</v>
      </c>
      <c r="D734" s="64">
        <v>4464</v>
      </c>
      <c r="E734" s="27">
        <v>76</v>
      </c>
      <c r="F734" s="61">
        <f t="shared" ref="F734:F743" si="146">ROUND(D734/E734/4,2)</f>
        <v>14.68</v>
      </c>
      <c r="G734" s="62">
        <f>ROUND(451.2/E734,2)</f>
        <v>5.94</v>
      </c>
      <c r="H734" s="45">
        <f t="shared" ref="H734:H735" si="147">ROUND(1116/E734,2)</f>
        <v>14.68</v>
      </c>
    </row>
    <row r="735" spans="1:8" s="13" customFormat="1" ht="15.95" customHeight="1">
      <c r="A735" s="27">
        <v>572</v>
      </c>
      <c r="B735" s="41" t="s">
        <v>853</v>
      </c>
      <c r="C735" s="63" t="s">
        <v>463</v>
      </c>
      <c r="D735" s="64">
        <v>4464</v>
      </c>
      <c r="E735" s="27">
        <v>106</v>
      </c>
      <c r="F735" s="61">
        <f t="shared" si="146"/>
        <v>10.53</v>
      </c>
      <c r="G735" s="62">
        <f>ROUND(451.2/E735,2)</f>
        <v>4.26</v>
      </c>
      <c r="H735" s="45">
        <f t="shared" si="147"/>
        <v>10.53</v>
      </c>
    </row>
    <row r="736" spans="1:8" s="13" customFormat="1" ht="15.95" customHeight="1">
      <c r="A736" s="27">
        <v>573</v>
      </c>
      <c r="B736" s="41" t="s">
        <v>540</v>
      </c>
      <c r="C736" s="63" t="s">
        <v>713</v>
      </c>
      <c r="D736" s="64">
        <v>4038.8</v>
      </c>
      <c r="E736" s="27">
        <v>52</v>
      </c>
      <c r="F736" s="61">
        <f t="shared" si="146"/>
        <v>19.420000000000002</v>
      </c>
      <c r="G736" s="62">
        <f>ROUND(469.47/E736,2)</f>
        <v>9.0299999999999994</v>
      </c>
      <c r="H736" s="45">
        <f t="shared" si="137"/>
        <v>19.420000000000002</v>
      </c>
    </row>
    <row r="737" spans="1:8" s="13" customFormat="1" ht="15.95" customHeight="1">
      <c r="A737" s="27">
        <v>574</v>
      </c>
      <c r="B737" s="41" t="s">
        <v>541</v>
      </c>
      <c r="C737" s="63" t="s">
        <v>101</v>
      </c>
      <c r="D737" s="64">
        <v>4038.8</v>
      </c>
      <c r="E737" s="27">
        <v>33</v>
      </c>
      <c r="F737" s="61">
        <f t="shared" si="146"/>
        <v>30.6</v>
      </c>
      <c r="G737" s="62">
        <f>ROUND(441.63/E737,2)</f>
        <v>13.38</v>
      </c>
      <c r="H737" s="45">
        <f t="shared" si="137"/>
        <v>30.6</v>
      </c>
    </row>
    <row r="738" spans="1:8" s="13" customFormat="1" ht="15.95" customHeight="1">
      <c r="A738" s="27">
        <v>575</v>
      </c>
      <c r="B738" s="41" t="s">
        <v>542</v>
      </c>
      <c r="C738" s="63" t="s">
        <v>864</v>
      </c>
      <c r="D738" s="64">
        <v>2702.6</v>
      </c>
      <c r="E738" s="27">
        <v>12</v>
      </c>
      <c r="F738" s="61">
        <f t="shared" si="146"/>
        <v>56.3</v>
      </c>
      <c r="G738" s="62">
        <f>ROUND(441.63/E738,2)</f>
        <v>36.799999999999997</v>
      </c>
      <c r="H738" s="45">
        <f>ROUND(675.66/E738,2)</f>
        <v>56.31</v>
      </c>
    </row>
    <row r="739" spans="1:8" s="13" customFormat="1" ht="15.95" customHeight="1">
      <c r="A739" s="27">
        <v>576</v>
      </c>
      <c r="B739" s="41" t="s">
        <v>543</v>
      </c>
      <c r="C739" s="63" t="s">
        <v>863</v>
      </c>
      <c r="D739" s="64">
        <v>4038.8</v>
      </c>
      <c r="E739" s="27">
        <v>119</v>
      </c>
      <c r="F739" s="61">
        <f t="shared" si="146"/>
        <v>8.48</v>
      </c>
      <c r="G739" s="62">
        <f t="shared" ref="G739:G742" si="148">ROUND(441.63/E739,2)</f>
        <v>3.71</v>
      </c>
      <c r="H739" s="45">
        <f t="shared" si="137"/>
        <v>8.48</v>
      </c>
    </row>
    <row r="740" spans="1:8" s="13" customFormat="1" ht="15.95" customHeight="1">
      <c r="A740" s="27">
        <v>577</v>
      </c>
      <c r="B740" s="41" t="s">
        <v>544</v>
      </c>
      <c r="C740" s="63" t="s">
        <v>864</v>
      </c>
      <c r="D740" s="64">
        <v>2702.6</v>
      </c>
      <c r="E740" s="27">
        <v>11</v>
      </c>
      <c r="F740" s="61">
        <f t="shared" si="146"/>
        <v>61.42</v>
      </c>
      <c r="G740" s="62">
        <f t="shared" si="148"/>
        <v>40.15</v>
      </c>
      <c r="H740" s="45">
        <f>ROUND(675.66/E740,2)</f>
        <v>61.42</v>
      </c>
    </row>
    <row r="741" spans="1:8" s="13" customFormat="1" ht="15.95" customHeight="1">
      <c r="A741" s="27">
        <v>578</v>
      </c>
      <c r="B741" s="41" t="s">
        <v>545</v>
      </c>
      <c r="C741" s="63" t="s">
        <v>876</v>
      </c>
      <c r="D741" s="17">
        <v>3590</v>
      </c>
      <c r="E741" s="27">
        <v>38</v>
      </c>
      <c r="F741" s="61">
        <f t="shared" si="146"/>
        <v>23.62</v>
      </c>
      <c r="G741" s="62">
        <f t="shared" si="148"/>
        <v>11.62</v>
      </c>
      <c r="H741" s="45">
        <f>ROUND(897.51/E741,2)</f>
        <v>23.62</v>
      </c>
    </row>
    <row r="742" spans="1:8" s="13" customFormat="1" ht="15.95" customHeight="1">
      <c r="A742" s="27">
        <v>579</v>
      </c>
      <c r="B742" s="41" t="s">
        <v>546</v>
      </c>
      <c r="C742" s="63" t="s">
        <v>876</v>
      </c>
      <c r="D742" s="17">
        <v>3590</v>
      </c>
      <c r="E742" s="27">
        <v>42</v>
      </c>
      <c r="F742" s="61">
        <f t="shared" si="146"/>
        <v>21.37</v>
      </c>
      <c r="G742" s="62">
        <f t="shared" si="148"/>
        <v>10.52</v>
      </c>
      <c r="H742" s="45">
        <f>ROUND(897.51/E742,2)</f>
        <v>21.37</v>
      </c>
    </row>
    <row r="743" spans="1:8" s="13" customFormat="1" ht="15.95" customHeight="1">
      <c r="A743" s="27">
        <v>580</v>
      </c>
      <c r="B743" s="41" t="s">
        <v>547</v>
      </c>
      <c r="C743" s="63" t="s">
        <v>881</v>
      </c>
      <c r="D743" s="17">
        <v>3590</v>
      </c>
      <c r="E743" s="27">
        <v>44</v>
      </c>
      <c r="F743" s="61">
        <f t="shared" si="146"/>
        <v>20.399999999999999</v>
      </c>
      <c r="G743" s="62">
        <f>ROUND(441.63/E743,2)</f>
        <v>10.039999999999999</v>
      </c>
      <c r="H743" s="45">
        <f>ROUND(897.51/E743,2)</f>
        <v>20.399999999999999</v>
      </c>
    </row>
    <row r="744" spans="1:8" s="13" customFormat="1" ht="3.95" customHeight="1">
      <c r="A744" s="101">
        <v>581</v>
      </c>
      <c r="B744" s="95" t="s">
        <v>835</v>
      </c>
      <c r="C744" s="20" t="s">
        <v>863</v>
      </c>
      <c r="D744" s="69">
        <f>3590+4038.8*2+4464</f>
        <v>16131.6</v>
      </c>
      <c r="E744" s="90">
        <f>59+40+68+129</f>
        <v>296</v>
      </c>
      <c r="F744" s="73">
        <f>ROUND(D744/E744/4,2)</f>
        <v>13.62</v>
      </c>
      <c r="G744" s="113">
        <f>ROUND((441.63*3+451.2)/E744,2)</f>
        <v>6</v>
      </c>
      <c r="H744" s="65">
        <f>ROUND((1009.71*2+897.51+1116)/E744,2)</f>
        <v>13.62</v>
      </c>
    </row>
    <row r="745" spans="1:8" s="13" customFormat="1" ht="3.95" customHeight="1">
      <c r="A745" s="101"/>
      <c r="B745" s="96"/>
      <c r="C745" s="22" t="s">
        <v>876</v>
      </c>
      <c r="D745" s="77" t="e">
        <f>#REF!+#REF!</f>
        <v>#REF!</v>
      </c>
      <c r="E745" s="94"/>
      <c r="F745" s="81" t="e">
        <f t="shared" ref="F745:F747" si="149">D745/E745/4</f>
        <v>#REF!</v>
      </c>
      <c r="G745" s="113">
        <f t="shared" ref="G745:G747" si="150">443.34*1/55</f>
        <v>8.0607272727272719</v>
      </c>
      <c r="H745" s="65"/>
    </row>
    <row r="746" spans="1:8" s="13" customFormat="1" ht="3.95" customHeight="1">
      <c r="A746" s="101"/>
      <c r="B746" s="96"/>
      <c r="C746" s="22" t="s">
        <v>863</v>
      </c>
      <c r="D746" s="77" t="e">
        <f>#REF!+#REF!</f>
        <v>#REF!</v>
      </c>
      <c r="E746" s="94"/>
      <c r="F746" s="81" t="e">
        <f t="shared" si="149"/>
        <v>#REF!</v>
      </c>
      <c r="G746" s="113">
        <f t="shared" si="150"/>
        <v>8.0607272727272719</v>
      </c>
      <c r="H746" s="65"/>
    </row>
    <row r="747" spans="1:8" s="13" customFormat="1" ht="3.95" customHeight="1">
      <c r="A747" s="101"/>
      <c r="B747" s="97"/>
      <c r="C747" s="23" t="s">
        <v>865</v>
      </c>
      <c r="D747" s="70" t="e">
        <f>#REF!+#REF!</f>
        <v>#REF!</v>
      </c>
      <c r="E747" s="91"/>
      <c r="F747" s="74" t="e">
        <f t="shared" si="149"/>
        <v>#REF!</v>
      </c>
      <c r="G747" s="113">
        <f t="shared" si="150"/>
        <v>8.0607272727272719</v>
      </c>
      <c r="H747" s="65"/>
    </row>
    <row r="748" spans="1:8" s="13" customFormat="1" ht="15.95" customHeight="1">
      <c r="A748" s="27">
        <v>582</v>
      </c>
      <c r="B748" s="41" t="s">
        <v>548</v>
      </c>
      <c r="C748" s="63" t="s">
        <v>863</v>
      </c>
      <c r="D748" s="64">
        <v>4038.8</v>
      </c>
      <c r="E748" s="27">
        <v>59</v>
      </c>
      <c r="F748" s="61">
        <f t="shared" ref="F748:F786" si="151">ROUND(D748/E748/4,2)</f>
        <v>17.11</v>
      </c>
      <c r="G748" s="62">
        <f>ROUND(441.63/E748,2)</f>
        <v>7.49</v>
      </c>
      <c r="H748" s="45">
        <f t="shared" si="137"/>
        <v>17.11</v>
      </c>
    </row>
    <row r="749" spans="1:8" s="13" customFormat="1" ht="15.95" customHeight="1">
      <c r="A749" s="27">
        <v>583</v>
      </c>
      <c r="B749" s="41" t="s">
        <v>549</v>
      </c>
      <c r="C749" s="63" t="s">
        <v>876</v>
      </c>
      <c r="D749" s="17">
        <v>3590</v>
      </c>
      <c r="E749" s="27">
        <v>31</v>
      </c>
      <c r="F749" s="61">
        <f t="shared" si="151"/>
        <v>28.95</v>
      </c>
      <c r="G749" s="62">
        <f t="shared" ref="G749:G750" si="152">ROUND(441.63/E749,2)</f>
        <v>14.25</v>
      </c>
      <c r="H749" s="45">
        <f>ROUND(897.51/E749,2)</f>
        <v>28.95</v>
      </c>
    </row>
    <row r="750" spans="1:8" s="13" customFormat="1" ht="15.95" customHeight="1">
      <c r="A750" s="27">
        <v>584</v>
      </c>
      <c r="B750" s="41" t="s">
        <v>550</v>
      </c>
      <c r="C750" s="63" t="s">
        <v>863</v>
      </c>
      <c r="D750" s="64">
        <v>4038.8</v>
      </c>
      <c r="E750" s="27">
        <v>107</v>
      </c>
      <c r="F750" s="61">
        <f t="shared" si="151"/>
        <v>9.44</v>
      </c>
      <c r="G750" s="62">
        <f t="shared" si="152"/>
        <v>4.13</v>
      </c>
      <c r="H750" s="45">
        <f t="shared" si="137"/>
        <v>9.44</v>
      </c>
    </row>
    <row r="751" spans="1:8" s="13" customFormat="1" ht="15.95" customHeight="1">
      <c r="A751" s="27">
        <v>585</v>
      </c>
      <c r="B751" s="41" t="s">
        <v>551</v>
      </c>
      <c r="C751" s="63" t="s">
        <v>552</v>
      </c>
      <c r="D751" s="64">
        <v>4038.8</v>
      </c>
      <c r="E751" s="27">
        <v>110</v>
      </c>
      <c r="F751" s="61">
        <f t="shared" si="151"/>
        <v>9.18</v>
      </c>
      <c r="G751" s="62">
        <f>ROUND(469.47/E751,2)</f>
        <v>4.2699999999999996</v>
      </c>
      <c r="H751" s="45">
        <f t="shared" si="137"/>
        <v>9.18</v>
      </c>
    </row>
    <row r="752" spans="1:8" s="13" customFormat="1" ht="15.95" customHeight="1">
      <c r="A752" s="27">
        <v>586</v>
      </c>
      <c r="B752" s="41" t="s">
        <v>553</v>
      </c>
      <c r="C752" s="63" t="s">
        <v>881</v>
      </c>
      <c r="D752" s="17">
        <v>3590</v>
      </c>
      <c r="E752" s="27">
        <v>12</v>
      </c>
      <c r="F752" s="61">
        <f t="shared" si="151"/>
        <v>74.790000000000006</v>
      </c>
      <c r="G752" s="62">
        <f>ROUND(441.63/E752,2)</f>
        <v>36.799999999999997</v>
      </c>
      <c r="H752" s="45">
        <f>ROUND(897.51/E752,2)</f>
        <v>74.790000000000006</v>
      </c>
    </row>
    <row r="753" spans="1:8" s="13" customFormat="1" ht="15.95" customHeight="1">
      <c r="A753" s="27">
        <v>587</v>
      </c>
      <c r="B753" s="41" t="s">
        <v>554</v>
      </c>
      <c r="C753" s="63" t="s">
        <v>49</v>
      </c>
      <c r="D753" s="17">
        <v>3590</v>
      </c>
      <c r="E753" s="27">
        <v>35</v>
      </c>
      <c r="F753" s="61">
        <f t="shared" si="151"/>
        <v>25.64</v>
      </c>
      <c r="G753" s="62">
        <f t="shared" ref="G753" si="153">ROUND(441.63/E753,2)</f>
        <v>12.62</v>
      </c>
      <c r="H753" s="45">
        <f>ROUND(897.51/E753,2)</f>
        <v>25.64</v>
      </c>
    </row>
    <row r="754" spans="1:8" s="13" customFormat="1" ht="15.95" customHeight="1">
      <c r="A754" s="27">
        <v>588</v>
      </c>
      <c r="B754" s="41" t="s">
        <v>836</v>
      </c>
      <c r="C754" s="63" t="s">
        <v>714</v>
      </c>
      <c r="D754" s="17">
        <f>3590*2</f>
        <v>7180</v>
      </c>
      <c r="E754" s="27">
        <v>72</v>
      </c>
      <c r="F754" s="61">
        <f t="shared" si="151"/>
        <v>24.93</v>
      </c>
      <c r="G754" s="62">
        <f>ROUND(441.63*2/E754,2)</f>
        <v>12.27</v>
      </c>
      <c r="H754" s="45">
        <f>ROUND(897.51*2/E754,2)</f>
        <v>24.93</v>
      </c>
    </row>
    <row r="755" spans="1:8" s="13" customFormat="1" ht="15.95" customHeight="1">
      <c r="A755" s="27">
        <v>589</v>
      </c>
      <c r="B755" s="41" t="s">
        <v>555</v>
      </c>
      <c r="C755" s="63" t="s">
        <v>463</v>
      </c>
      <c r="D755" s="64">
        <v>4464</v>
      </c>
      <c r="E755" s="27">
        <v>134</v>
      </c>
      <c r="F755" s="61">
        <f t="shared" si="151"/>
        <v>8.33</v>
      </c>
      <c r="G755" s="62">
        <f t="shared" ref="G755:G756" si="154">ROUND(451.2/E755,2)</f>
        <v>3.37</v>
      </c>
      <c r="H755" s="45">
        <f t="shared" ref="H755:H756" si="155">ROUND(1116/E755,2)</f>
        <v>8.33</v>
      </c>
    </row>
    <row r="756" spans="1:8" s="13" customFormat="1" ht="15.95" customHeight="1">
      <c r="A756" s="27">
        <v>590</v>
      </c>
      <c r="B756" s="41" t="s">
        <v>556</v>
      </c>
      <c r="C756" s="63" t="s">
        <v>463</v>
      </c>
      <c r="D756" s="64">
        <v>4464</v>
      </c>
      <c r="E756" s="27">
        <v>115</v>
      </c>
      <c r="F756" s="61">
        <f t="shared" si="151"/>
        <v>9.6999999999999993</v>
      </c>
      <c r="G756" s="62">
        <f t="shared" si="154"/>
        <v>3.92</v>
      </c>
      <c r="H756" s="45">
        <f t="shared" si="155"/>
        <v>9.6999999999999993</v>
      </c>
    </row>
    <row r="757" spans="1:8" s="13" customFormat="1" ht="15.95" customHeight="1">
      <c r="A757" s="27">
        <v>591</v>
      </c>
      <c r="B757" s="41" t="s">
        <v>557</v>
      </c>
      <c r="C757" s="63" t="s">
        <v>876</v>
      </c>
      <c r="D757" s="17">
        <v>3590</v>
      </c>
      <c r="E757" s="27">
        <v>30</v>
      </c>
      <c r="F757" s="61">
        <f t="shared" si="151"/>
        <v>29.92</v>
      </c>
      <c r="G757" s="62">
        <f>ROUND(441.63/E757,2)</f>
        <v>14.72</v>
      </c>
      <c r="H757" s="45">
        <f>ROUND(897.51/E757,2)</f>
        <v>29.92</v>
      </c>
    </row>
    <row r="758" spans="1:8" s="13" customFormat="1" ht="15.95" customHeight="1">
      <c r="A758" s="27">
        <v>592</v>
      </c>
      <c r="B758" s="41" t="s">
        <v>558</v>
      </c>
      <c r="C758" s="63" t="s">
        <v>101</v>
      </c>
      <c r="D758" s="64">
        <v>4038.8</v>
      </c>
      <c r="E758" s="27">
        <v>55</v>
      </c>
      <c r="F758" s="61">
        <f t="shared" si="151"/>
        <v>18.36</v>
      </c>
      <c r="G758" s="62">
        <f t="shared" ref="G758:G760" si="156">ROUND(441.63/E758,2)</f>
        <v>8.0299999999999994</v>
      </c>
      <c r="H758" s="45">
        <f t="shared" si="137"/>
        <v>18.36</v>
      </c>
    </row>
    <row r="759" spans="1:8" s="13" customFormat="1" ht="15.95" customHeight="1">
      <c r="A759" s="27">
        <v>593</v>
      </c>
      <c r="B759" s="41" t="s">
        <v>559</v>
      </c>
      <c r="C759" s="63" t="s">
        <v>101</v>
      </c>
      <c r="D759" s="64">
        <v>4038.8</v>
      </c>
      <c r="E759" s="27">
        <v>69</v>
      </c>
      <c r="F759" s="61">
        <f t="shared" si="151"/>
        <v>14.63</v>
      </c>
      <c r="G759" s="62">
        <f t="shared" si="156"/>
        <v>6.4</v>
      </c>
      <c r="H759" s="45">
        <f t="shared" si="137"/>
        <v>14.63</v>
      </c>
    </row>
    <row r="760" spans="1:8" s="13" customFormat="1" ht="15.95" customHeight="1">
      <c r="A760" s="27">
        <v>594</v>
      </c>
      <c r="B760" s="41" t="s">
        <v>560</v>
      </c>
      <c r="C760" s="63" t="s">
        <v>101</v>
      </c>
      <c r="D760" s="64">
        <v>4038.8</v>
      </c>
      <c r="E760" s="27">
        <v>48</v>
      </c>
      <c r="F760" s="61">
        <f t="shared" si="151"/>
        <v>21.04</v>
      </c>
      <c r="G760" s="62">
        <f t="shared" si="156"/>
        <v>9.1999999999999993</v>
      </c>
      <c r="H760" s="45">
        <f t="shared" si="137"/>
        <v>21.04</v>
      </c>
    </row>
    <row r="761" spans="1:8" s="13" customFormat="1" ht="15.95" customHeight="1">
      <c r="A761" s="27">
        <v>595</v>
      </c>
      <c r="B761" s="41" t="s">
        <v>561</v>
      </c>
      <c r="C761" s="63" t="s">
        <v>864</v>
      </c>
      <c r="D761" s="64">
        <v>2702.6</v>
      </c>
      <c r="E761" s="27">
        <v>28</v>
      </c>
      <c r="F761" s="61">
        <f t="shared" si="151"/>
        <v>24.13</v>
      </c>
      <c r="G761" s="62">
        <f t="shared" ref="G761:G764" si="157">ROUND(441.63/E761,2)</f>
        <v>15.77</v>
      </c>
      <c r="H761" s="45">
        <f>ROUND(675.66/E761,2)</f>
        <v>24.13</v>
      </c>
    </row>
    <row r="762" spans="1:8" s="13" customFormat="1" ht="15.95" customHeight="1">
      <c r="A762" s="27">
        <v>596</v>
      </c>
      <c r="B762" s="41" t="s">
        <v>562</v>
      </c>
      <c r="C762" s="63" t="s">
        <v>864</v>
      </c>
      <c r="D762" s="64">
        <v>2702.6</v>
      </c>
      <c r="E762" s="27">
        <v>25</v>
      </c>
      <c r="F762" s="61">
        <f t="shared" si="151"/>
        <v>27.03</v>
      </c>
      <c r="G762" s="62">
        <f t="shared" si="157"/>
        <v>17.670000000000002</v>
      </c>
      <c r="H762" s="45">
        <f>ROUND(675.66/E762,2)</f>
        <v>27.03</v>
      </c>
    </row>
    <row r="763" spans="1:8" s="13" customFormat="1" ht="15.95" customHeight="1">
      <c r="A763" s="27">
        <v>597</v>
      </c>
      <c r="B763" s="41" t="s">
        <v>563</v>
      </c>
      <c r="C763" s="63" t="s">
        <v>471</v>
      </c>
      <c r="D763" s="64">
        <v>2702.6</v>
      </c>
      <c r="E763" s="27">
        <v>16</v>
      </c>
      <c r="F763" s="61">
        <f t="shared" si="151"/>
        <v>42.23</v>
      </c>
      <c r="G763" s="62">
        <f t="shared" si="157"/>
        <v>27.6</v>
      </c>
      <c r="H763" s="45">
        <f>ROUND(675.66/E763,2)</f>
        <v>42.23</v>
      </c>
    </row>
    <row r="764" spans="1:8" s="13" customFormat="1" ht="15.95" customHeight="1">
      <c r="A764" s="27">
        <v>598</v>
      </c>
      <c r="B764" s="41" t="s">
        <v>564</v>
      </c>
      <c r="C764" s="63" t="s">
        <v>471</v>
      </c>
      <c r="D764" s="64">
        <v>2702.6</v>
      </c>
      <c r="E764" s="27">
        <v>8</v>
      </c>
      <c r="F764" s="61">
        <f t="shared" si="151"/>
        <v>84.46</v>
      </c>
      <c r="G764" s="62">
        <f t="shared" si="157"/>
        <v>55.2</v>
      </c>
      <c r="H764" s="45">
        <f>ROUND(675.66/E764,2)</f>
        <v>84.46</v>
      </c>
    </row>
    <row r="765" spans="1:8" s="13" customFormat="1" ht="15.95" customHeight="1">
      <c r="A765" s="27">
        <v>599</v>
      </c>
      <c r="B765" s="41" t="s">
        <v>565</v>
      </c>
      <c r="C765" s="63" t="s">
        <v>864</v>
      </c>
      <c r="D765" s="64">
        <v>2702.6</v>
      </c>
      <c r="E765" s="27">
        <v>5</v>
      </c>
      <c r="F765" s="61">
        <f t="shared" si="151"/>
        <v>135.13</v>
      </c>
      <c r="G765" s="62">
        <f t="shared" ref="G765:G766" si="158">ROUND(441.63/E765,2)</f>
        <v>88.33</v>
      </c>
      <c r="H765" s="45">
        <f>ROUND(675.66/E765,2)</f>
        <v>135.13</v>
      </c>
    </row>
    <row r="766" spans="1:8" s="13" customFormat="1" ht="15.95" customHeight="1">
      <c r="A766" s="27">
        <v>600</v>
      </c>
      <c r="B766" s="41" t="s">
        <v>837</v>
      </c>
      <c r="C766" s="63" t="s">
        <v>863</v>
      </c>
      <c r="D766" s="64">
        <v>4038.8</v>
      </c>
      <c r="E766" s="27">
        <v>45</v>
      </c>
      <c r="F766" s="61">
        <f t="shared" si="151"/>
        <v>22.44</v>
      </c>
      <c r="G766" s="62">
        <f t="shared" si="158"/>
        <v>9.81</v>
      </c>
      <c r="H766" s="45">
        <f t="shared" si="137"/>
        <v>22.44</v>
      </c>
    </row>
    <row r="767" spans="1:8" s="13" customFormat="1" ht="15.95" customHeight="1">
      <c r="A767" s="27">
        <v>601</v>
      </c>
      <c r="B767" s="41" t="s">
        <v>566</v>
      </c>
      <c r="C767" s="63" t="s">
        <v>101</v>
      </c>
      <c r="D767" s="64">
        <v>4038.8</v>
      </c>
      <c r="E767" s="27">
        <v>36</v>
      </c>
      <c r="F767" s="61">
        <f t="shared" si="151"/>
        <v>28.05</v>
      </c>
      <c r="G767" s="62">
        <f>ROUND(441.63/E767,2)</f>
        <v>12.27</v>
      </c>
      <c r="H767" s="45">
        <f t="shared" si="137"/>
        <v>28.05</v>
      </c>
    </row>
    <row r="768" spans="1:8" s="13" customFormat="1" ht="15.95" customHeight="1">
      <c r="A768" s="27">
        <v>602</v>
      </c>
      <c r="B768" s="41" t="s">
        <v>567</v>
      </c>
      <c r="C768" s="63" t="s">
        <v>882</v>
      </c>
      <c r="D768" s="64">
        <v>4464</v>
      </c>
      <c r="E768" s="27">
        <v>94</v>
      </c>
      <c r="F768" s="61">
        <f t="shared" si="151"/>
        <v>11.87</v>
      </c>
      <c r="G768" s="62">
        <f>ROUND(451.2/E768,2)</f>
        <v>4.8</v>
      </c>
      <c r="H768" s="45">
        <f t="shared" ref="H768" si="159">ROUND(1116/E768,2)</f>
        <v>11.87</v>
      </c>
    </row>
    <row r="769" spans="1:8" s="13" customFormat="1" ht="15.95" customHeight="1">
      <c r="A769" s="27">
        <v>603</v>
      </c>
      <c r="B769" s="41" t="s">
        <v>568</v>
      </c>
      <c r="C769" s="63" t="s">
        <v>883</v>
      </c>
      <c r="D769" s="17">
        <v>3590</v>
      </c>
      <c r="E769" s="27">
        <v>39</v>
      </c>
      <c r="F769" s="61">
        <f t="shared" si="151"/>
        <v>23.01</v>
      </c>
      <c r="G769" s="62">
        <f t="shared" ref="G769:G772" si="160">ROUND(441.63/E769,2)</f>
        <v>11.32</v>
      </c>
      <c r="H769" s="45">
        <f>ROUND(897.51/E769,2)</f>
        <v>23.01</v>
      </c>
    </row>
    <row r="770" spans="1:8" s="13" customFormat="1" ht="15.95" customHeight="1">
      <c r="A770" s="27">
        <v>604</v>
      </c>
      <c r="B770" s="41" t="s">
        <v>569</v>
      </c>
      <c r="C770" s="63" t="s">
        <v>884</v>
      </c>
      <c r="D770" s="64">
        <v>2702.6</v>
      </c>
      <c r="E770" s="27">
        <v>14</v>
      </c>
      <c r="F770" s="61">
        <f t="shared" si="151"/>
        <v>48.26</v>
      </c>
      <c r="G770" s="62">
        <f t="shared" si="160"/>
        <v>31.55</v>
      </c>
      <c r="H770" s="45">
        <f>ROUND(675.66/E770,2)</f>
        <v>48.26</v>
      </c>
    </row>
    <row r="771" spans="1:8" s="13" customFormat="1" ht="15.95" customHeight="1">
      <c r="A771" s="27">
        <v>605</v>
      </c>
      <c r="B771" s="41" t="s">
        <v>570</v>
      </c>
      <c r="C771" s="63" t="s">
        <v>883</v>
      </c>
      <c r="D771" s="17">
        <v>3590</v>
      </c>
      <c r="E771" s="27">
        <v>33</v>
      </c>
      <c r="F771" s="61">
        <f t="shared" si="151"/>
        <v>27.2</v>
      </c>
      <c r="G771" s="62">
        <f t="shared" si="160"/>
        <v>13.38</v>
      </c>
      <c r="H771" s="45">
        <f>ROUND(897.51/E771,2)</f>
        <v>27.2</v>
      </c>
    </row>
    <row r="772" spans="1:8" s="13" customFormat="1" ht="15.95" customHeight="1">
      <c r="A772" s="27">
        <v>606</v>
      </c>
      <c r="B772" s="41" t="s">
        <v>571</v>
      </c>
      <c r="C772" s="63" t="s">
        <v>885</v>
      </c>
      <c r="D772" s="64">
        <v>4038.8</v>
      </c>
      <c r="E772" s="27">
        <v>41</v>
      </c>
      <c r="F772" s="61">
        <f t="shared" si="151"/>
        <v>24.63</v>
      </c>
      <c r="G772" s="62">
        <f t="shared" si="160"/>
        <v>10.77</v>
      </c>
      <c r="H772" s="45">
        <f t="shared" si="137"/>
        <v>24.63</v>
      </c>
    </row>
    <row r="773" spans="1:8" s="13" customFormat="1" ht="15.95" customHeight="1">
      <c r="A773" s="27">
        <v>607</v>
      </c>
      <c r="B773" s="41" t="s">
        <v>572</v>
      </c>
      <c r="C773" s="63" t="s">
        <v>886</v>
      </c>
      <c r="D773" s="64">
        <v>4038.8</v>
      </c>
      <c r="E773" s="27">
        <v>37</v>
      </c>
      <c r="F773" s="61">
        <f t="shared" si="151"/>
        <v>27.29</v>
      </c>
      <c r="G773" s="62">
        <f>ROUND(441.63/E773,2)</f>
        <v>11.94</v>
      </c>
      <c r="H773" s="45">
        <f t="shared" si="137"/>
        <v>27.29</v>
      </c>
    </row>
    <row r="774" spans="1:8" s="13" customFormat="1" ht="15.95" customHeight="1">
      <c r="A774" s="27">
        <v>608</v>
      </c>
      <c r="B774" s="41" t="s">
        <v>573</v>
      </c>
      <c r="C774" s="63" t="s">
        <v>883</v>
      </c>
      <c r="D774" s="17">
        <v>3590</v>
      </c>
      <c r="E774" s="27">
        <v>23</v>
      </c>
      <c r="F774" s="61">
        <f t="shared" si="151"/>
        <v>39.020000000000003</v>
      </c>
      <c r="G774" s="62">
        <f>ROUND(441.63/E774,2)</f>
        <v>19.2</v>
      </c>
      <c r="H774" s="45">
        <f>ROUND(897.51/E774,2)</f>
        <v>39.020000000000003</v>
      </c>
    </row>
    <row r="775" spans="1:8" s="13" customFormat="1" ht="15.95" customHeight="1">
      <c r="A775" s="27">
        <v>609</v>
      </c>
      <c r="B775" s="41" t="s">
        <v>574</v>
      </c>
      <c r="C775" s="63" t="s">
        <v>463</v>
      </c>
      <c r="D775" s="64">
        <v>4464</v>
      </c>
      <c r="E775" s="27">
        <v>86</v>
      </c>
      <c r="F775" s="61">
        <f t="shared" si="151"/>
        <v>12.98</v>
      </c>
      <c r="G775" s="62">
        <f>ROUND(451.2/E775,2)</f>
        <v>5.25</v>
      </c>
      <c r="H775" s="45">
        <f t="shared" ref="H775" si="161">ROUND(1116/E775,2)</f>
        <v>12.98</v>
      </c>
    </row>
    <row r="776" spans="1:8" s="13" customFormat="1" ht="15.95" customHeight="1">
      <c r="A776" s="27">
        <v>610</v>
      </c>
      <c r="B776" s="41" t="s">
        <v>575</v>
      </c>
      <c r="C776" s="63" t="s">
        <v>881</v>
      </c>
      <c r="D776" s="17">
        <v>3590</v>
      </c>
      <c r="E776" s="27">
        <v>21</v>
      </c>
      <c r="F776" s="61">
        <f t="shared" si="151"/>
        <v>42.74</v>
      </c>
      <c r="G776" s="62">
        <f>ROUND(441.63/E776,2)</f>
        <v>21.03</v>
      </c>
      <c r="H776" s="45">
        <f>ROUND(897.51/E776,2)</f>
        <v>42.74</v>
      </c>
    </row>
    <row r="777" spans="1:8" s="13" customFormat="1" ht="15.95" customHeight="1">
      <c r="A777" s="27">
        <v>611</v>
      </c>
      <c r="B777" s="41" t="s">
        <v>576</v>
      </c>
      <c r="C777" s="63" t="s">
        <v>886</v>
      </c>
      <c r="D777" s="64">
        <v>4038.8</v>
      </c>
      <c r="E777" s="27">
        <v>68</v>
      </c>
      <c r="F777" s="61">
        <f t="shared" si="151"/>
        <v>14.85</v>
      </c>
      <c r="G777" s="62">
        <f>ROUND(441.63/E777,2)</f>
        <v>6.49</v>
      </c>
      <c r="H777" s="45">
        <f t="shared" si="137"/>
        <v>14.85</v>
      </c>
    </row>
    <row r="778" spans="1:8" s="13" customFormat="1" ht="15.95" customHeight="1">
      <c r="A778" s="27">
        <v>612</v>
      </c>
      <c r="B778" s="41" t="s">
        <v>577</v>
      </c>
      <c r="C778" s="63" t="s">
        <v>463</v>
      </c>
      <c r="D778" s="64">
        <v>4464</v>
      </c>
      <c r="E778" s="27">
        <v>86</v>
      </c>
      <c r="F778" s="61">
        <f t="shared" si="151"/>
        <v>12.98</v>
      </c>
      <c r="G778" s="62">
        <f>ROUND(451.2/E778,2)</f>
        <v>5.25</v>
      </c>
      <c r="H778" s="45">
        <f t="shared" ref="H778" si="162">ROUND(1116/E778,2)</f>
        <v>12.98</v>
      </c>
    </row>
    <row r="779" spans="1:8" s="13" customFormat="1" ht="15.95" customHeight="1">
      <c r="A779" s="27">
        <v>613</v>
      </c>
      <c r="B779" s="41" t="s">
        <v>578</v>
      </c>
      <c r="C779" s="63" t="s">
        <v>49</v>
      </c>
      <c r="D779" s="17">
        <v>3590</v>
      </c>
      <c r="E779" s="27">
        <v>27</v>
      </c>
      <c r="F779" s="61">
        <f t="shared" si="151"/>
        <v>33.24</v>
      </c>
      <c r="G779" s="62">
        <f t="shared" ref="G779:G785" si="163">ROUND(441.63/E779,2)</f>
        <v>16.36</v>
      </c>
      <c r="H779" s="45">
        <f>ROUND(897.51/E779,2)</f>
        <v>33.24</v>
      </c>
    </row>
    <row r="780" spans="1:8" s="13" customFormat="1" ht="15.95" customHeight="1">
      <c r="A780" s="27">
        <v>614</v>
      </c>
      <c r="B780" s="41" t="s">
        <v>579</v>
      </c>
      <c r="C780" s="63" t="s">
        <v>883</v>
      </c>
      <c r="D780" s="17">
        <v>3590</v>
      </c>
      <c r="E780" s="27">
        <v>21</v>
      </c>
      <c r="F780" s="61">
        <f t="shared" si="151"/>
        <v>42.74</v>
      </c>
      <c r="G780" s="62">
        <f t="shared" si="163"/>
        <v>21.03</v>
      </c>
      <c r="H780" s="45">
        <f>ROUND(897.51/E780,2)</f>
        <v>42.74</v>
      </c>
    </row>
    <row r="781" spans="1:8" s="13" customFormat="1" ht="15.95" customHeight="1">
      <c r="A781" s="27">
        <v>615</v>
      </c>
      <c r="B781" s="41" t="s">
        <v>580</v>
      </c>
      <c r="C781" s="63" t="s">
        <v>886</v>
      </c>
      <c r="D781" s="64">
        <v>4038.8</v>
      </c>
      <c r="E781" s="27">
        <v>19</v>
      </c>
      <c r="F781" s="61">
        <f t="shared" si="151"/>
        <v>53.14</v>
      </c>
      <c r="G781" s="62">
        <f t="shared" si="163"/>
        <v>23.24</v>
      </c>
      <c r="H781" s="45">
        <f t="shared" ref="H781:H834" si="164">ROUND(1009.71/E781,2)</f>
        <v>53.14</v>
      </c>
    </row>
    <row r="782" spans="1:8" s="13" customFormat="1" ht="15.95" customHeight="1">
      <c r="A782" s="27">
        <v>616</v>
      </c>
      <c r="B782" s="41" t="s">
        <v>581</v>
      </c>
      <c r="C782" s="63" t="s">
        <v>883</v>
      </c>
      <c r="D782" s="17">
        <v>3590</v>
      </c>
      <c r="E782" s="27">
        <v>21</v>
      </c>
      <c r="F782" s="61">
        <f t="shared" si="151"/>
        <v>42.74</v>
      </c>
      <c r="G782" s="62">
        <f t="shared" si="163"/>
        <v>21.03</v>
      </c>
      <c r="H782" s="45">
        <f>ROUND(897.51/E782,2)</f>
        <v>42.74</v>
      </c>
    </row>
    <row r="783" spans="1:8" s="13" customFormat="1" ht="15.95" customHeight="1">
      <c r="A783" s="27">
        <v>617</v>
      </c>
      <c r="B783" s="41" t="s">
        <v>582</v>
      </c>
      <c r="C783" s="63" t="s">
        <v>20</v>
      </c>
      <c r="D783" s="64">
        <v>2702.6</v>
      </c>
      <c r="E783" s="27">
        <v>17</v>
      </c>
      <c r="F783" s="61">
        <f t="shared" si="151"/>
        <v>39.74</v>
      </c>
      <c r="G783" s="62">
        <f t="shared" si="163"/>
        <v>25.98</v>
      </c>
      <c r="H783" s="45">
        <f>ROUND(675.66/E783,2)</f>
        <v>39.74</v>
      </c>
    </row>
    <row r="784" spans="1:8" s="13" customFormat="1" ht="15.95" customHeight="1">
      <c r="A784" s="27">
        <v>618</v>
      </c>
      <c r="B784" s="41" t="s">
        <v>583</v>
      </c>
      <c r="C784" s="63" t="s">
        <v>883</v>
      </c>
      <c r="D784" s="17">
        <v>3590</v>
      </c>
      <c r="E784" s="27">
        <v>32</v>
      </c>
      <c r="F784" s="61">
        <f t="shared" si="151"/>
        <v>28.05</v>
      </c>
      <c r="G784" s="62">
        <f t="shared" si="163"/>
        <v>13.8</v>
      </c>
      <c r="H784" s="45">
        <f>ROUND(897.51/E784,2)</f>
        <v>28.05</v>
      </c>
    </row>
    <row r="785" spans="1:8" s="13" customFormat="1" ht="15.95" customHeight="1">
      <c r="A785" s="27">
        <v>619</v>
      </c>
      <c r="B785" s="41" t="s">
        <v>584</v>
      </c>
      <c r="C785" s="63" t="s">
        <v>101</v>
      </c>
      <c r="D785" s="64">
        <v>4038.8</v>
      </c>
      <c r="E785" s="27">
        <v>43</v>
      </c>
      <c r="F785" s="61">
        <f t="shared" si="151"/>
        <v>23.48</v>
      </c>
      <c r="G785" s="62">
        <f t="shared" si="163"/>
        <v>10.27</v>
      </c>
      <c r="H785" s="45">
        <f t="shared" si="164"/>
        <v>23.48</v>
      </c>
    </row>
    <row r="786" spans="1:8" s="13" customFormat="1" ht="15.95" customHeight="1">
      <c r="A786" s="27">
        <v>620</v>
      </c>
      <c r="B786" s="41" t="s">
        <v>585</v>
      </c>
      <c r="C786" s="63" t="s">
        <v>586</v>
      </c>
      <c r="D786" s="17">
        <v>3590</v>
      </c>
      <c r="E786" s="27">
        <v>40</v>
      </c>
      <c r="F786" s="61">
        <f t="shared" si="151"/>
        <v>22.44</v>
      </c>
      <c r="G786" s="62">
        <f>ROUND(469.47/E786,2)</f>
        <v>11.74</v>
      </c>
      <c r="H786" s="45">
        <f>ROUND(897.51/E786,2)</f>
        <v>22.44</v>
      </c>
    </row>
    <row r="787" spans="1:8" s="13" customFormat="1" ht="8.1" customHeight="1">
      <c r="A787" s="101">
        <v>621</v>
      </c>
      <c r="B787" s="95" t="s">
        <v>838</v>
      </c>
      <c r="C787" s="20" t="s">
        <v>15</v>
      </c>
      <c r="D787" s="69">
        <f>3590+4851.6</f>
        <v>8441.6</v>
      </c>
      <c r="E787" s="90">
        <f>39+158</f>
        <v>197</v>
      </c>
      <c r="F787" s="73">
        <f>ROUND(D787/E787/4,2)</f>
        <v>10.71</v>
      </c>
      <c r="G787" s="113">
        <f>ROUND((441.63+482.49)/E787,2)</f>
        <v>4.6900000000000004</v>
      </c>
      <c r="H787" s="65">
        <f>ROUND((897.51+1212.9)/E787,2)</f>
        <v>10.71</v>
      </c>
    </row>
    <row r="788" spans="1:8" s="13" customFormat="1" ht="8.1" customHeight="1">
      <c r="A788" s="101"/>
      <c r="B788" s="97"/>
      <c r="C788" s="23" t="s">
        <v>887</v>
      </c>
      <c r="D788" s="70"/>
      <c r="E788" s="91"/>
      <c r="F788" s="74"/>
      <c r="G788" s="113"/>
      <c r="H788" s="65"/>
    </row>
    <row r="789" spans="1:8" s="13" customFormat="1" ht="15.95" customHeight="1">
      <c r="A789" s="27">
        <v>622</v>
      </c>
      <c r="B789" s="41" t="s">
        <v>587</v>
      </c>
      <c r="C789" s="63" t="s">
        <v>885</v>
      </c>
      <c r="D789" s="64">
        <v>4038.8</v>
      </c>
      <c r="E789" s="27">
        <v>70</v>
      </c>
      <c r="F789" s="18">
        <f>ROUND(D789/E789/4,2)</f>
        <v>14.42</v>
      </c>
      <c r="G789" s="62">
        <f>ROUND(441.63/E789,2)</f>
        <v>6.31</v>
      </c>
      <c r="H789" s="45">
        <f t="shared" si="164"/>
        <v>14.42</v>
      </c>
    </row>
    <row r="790" spans="1:8" s="13" customFormat="1" ht="3.2" customHeight="1">
      <c r="A790" s="94">
        <v>623</v>
      </c>
      <c r="B790" s="95" t="s">
        <v>839</v>
      </c>
      <c r="C790" s="20" t="s">
        <v>49</v>
      </c>
      <c r="D790" s="69">
        <f>3590*3+4038.8+4464</f>
        <v>19272.8</v>
      </c>
      <c r="E790" s="101">
        <f>39+40+40+39</f>
        <v>158</v>
      </c>
      <c r="F790" s="73">
        <f>ROUND(D790/E790/4,2)</f>
        <v>30.49</v>
      </c>
      <c r="G790" s="113">
        <f>ROUND((441.63*3+451.2+469.47)/E790,2)</f>
        <v>14.21</v>
      </c>
      <c r="H790" s="65">
        <f>ROUND((897.51*3+1009.71+1116)/E790,2)</f>
        <v>30.5</v>
      </c>
    </row>
    <row r="791" spans="1:8" s="13" customFormat="1" ht="3.2" customHeight="1">
      <c r="A791" s="94"/>
      <c r="B791" s="96"/>
      <c r="C791" s="22" t="s">
        <v>49</v>
      </c>
      <c r="D791" s="77" t="e">
        <f>#REF!+#REF!</f>
        <v>#REF!</v>
      </c>
      <c r="E791" s="101"/>
      <c r="F791" s="81" t="e">
        <f t="shared" ref="F791:F823" si="165">D791/E791/4</f>
        <v>#REF!</v>
      </c>
      <c r="G791" s="113">
        <f t="shared" ref="G791:G823" si="166">443.34*1/55</f>
        <v>8.0607272727272719</v>
      </c>
      <c r="H791" s="65"/>
    </row>
    <row r="792" spans="1:8" s="13" customFormat="1" ht="3.2" customHeight="1">
      <c r="A792" s="94"/>
      <c r="B792" s="96"/>
      <c r="C792" s="22" t="s">
        <v>588</v>
      </c>
      <c r="D792" s="77" t="e">
        <f>#REF!+#REF!</f>
        <v>#REF!</v>
      </c>
      <c r="E792" s="101"/>
      <c r="F792" s="81" t="e">
        <f t="shared" si="165"/>
        <v>#REF!</v>
      </c>
      <c r="G792" s="113">
        <f t="shared" si="166"/>
        <v>8.0607272727272719</v>
      </c>
      <c r="H792" s="65"/>
    </row>
    <row r="793" spans="1:8" s="13" customFormat="1" ht="3.2" customHeight="1">
      <c r="A793" s="94"/>
      <c r="B793" s="96"/>
      <c r="C793" s="22" t="s">
        <v>431</v>
      </c>
      <c r="D793" s="77" t="e">
        <f>#REF!+#REF!</f>
        <v>#REF!</v>
      </c>
      <c r="E793" s="101"/>
      <c r="F793" s="81" t="e">
        <f t="shared" si="165"/>
        <v>#REF!</v>
      </c>
      <c r="G793" s="113">
        <f t="shared" si="166"/>
        <v>8.0607272727272719</v>
      </c>
      <c r="H793" s="65"/>
    </row>
    <row r="794" spans="1:8" s="13" customFormat="1" ht="3.2" customHeight="1">
      <c r="A794" s="91"/>
      <c r="B794" s="97"/>
      <c r="C794" s="23" t="s">
        <v>882</v>
      </c>
      <c r="D794" s="70" t="e">
        <f>#REF!+#REF!</f>
        <v>#REF!</v>
      </c>
      <c r="E794" s="101"/>
      <c r="F794" s="74" t="e">
        <f t="shared" si="165"/>
        <v>#REF!</v>
      </c>
      <c r="G794" s="113">
        <f t="shared" si="166"/>
        <v>8.0607272727272719</v>
      </c>
      <c r="H794" s="65"/>
    </row>
    <row r="795" spans="1:8" s="13" customFormat="1" ht="15.95" customHeight="1">
      <c r="A795" s="27">
        <v>624</v>
      </c>
      <c r="B795" s="41" t="s">
        <v>589</v>
      </c>
      <c r="C795" s="63" t="s">
        <v>49</v>
      </c>
      <c r="D795" s="17">
        <v>3590</v>
      </c>
      <c r="E795" s="27">
        <v>40</v>
      </c>
      <c r="F795" s="18">
        <f>ROUND(D795/E795/4,2)</f>
        <v>22.44</v>
      </c>
      <c r="G795" s="62">
        <f>ROUND(441.63/E795,2)</f>
        <v>11.04</v>
      </c>
      <c r="H795" s="45">
        <f>ROUND(897.51/E795,2)</f>
        <v>22.44</v>
      </c>
    </row>
    <row r="796" spans="1:8" s="13" customFormat="1" ht="15.95" customHeight="1">
      <c r="A796" s="27">
        <v>625</v>
      </c>
      <c r="B796" s="41" t="s">
        <v>590</v>
      </c>
      <c r="C796" s="63" t="s">
        <v>888</v>
      </c>
      <c r="D796" s="64">
        <v>4464</v>
      </c>
      <c r="E796" s="27">
        <v>126</v>
      </c>
      <c r="F796" s="18">
        <f t="shared" ref="F796:F820" si="167">ROUND(D796/E796/4,2)</f>
        <v>8.86</v>
      </c>
      <c r="G796" s="62">
        <f>ROUND(451.2/E796,2)</f>
        <v>3.58</v>
      </c>
      <c r="H796" s="45">
        <f t="shared" ref="H796" si="168">ROUND(1116/E796,2)</f>
        <v>8.86</v>
      </c>
    </row>
    <row r="797" spans="1:8" s="13" customFormat="1" ht="15.95" customHeight="1">
      <c r="A797" s="27">
        <v>626</v>
      </c>
      <c r="B797" s="41" t="s">
        <v>591</v>
      </c>
      <c r="C797" s="63" t="s">
        <v>415</v>
      </c>
      <c r="D797" s="17">
        <v>4851.6000000000004</v>
      </c>
      <c r="E797" s="27">
        <v>133</v>
      </c>
      <c r="F797" s="18">
        <f t="shared" si="167"/>
        <v>9.1199999999999992</v>
      </c>
      <c r="G797" s="19">
        <f>ROUND(452.88/E797,2)</f>
        <v>3.41</v>
      </c>
      <c r="H797" s="45">
        <f>ROUND(1212.9/E797,2)</f>
        <v>9.1199999999999992</v>
      </c>
    </row>
    <row r="798" spans="1:8" s="13" customFormat="1" ht="15.95" customHeight="1">
      <c r="A798" s="27">
        <v>627</v>
      </c>
      <c r="B798" s="41" t="s">
        <v>592</v>
      </c>
      <c r="C798" s="63" t="s">
        <v>593</v>
      </c>
      <c r="D798" s="64">
        <v>2702.6</v>
      </c>
      <c r="E798" s="27">
        <v>34</v>
      </c>
      <c r="F798" s="18">
        <f t="shared" si="167"/>
        <v>19.87</v>
      </c>
      <c r="G798" s="62">
        <f>ROUND(441.63/E798,2)</f>
        <v>12.99</v>
      </c>
      <c r="H798" s="45">
        <f>ROUND(675.66/E798,2)</f>
        <v>19.87</v>
      </c>
    </row>
    <row r="799" spans="1:8" s="13" customFormat="1" ht="15.95" customHeight="1">
      <c r="A799" s="27">
        <v>628</v>
      </c>
      <c r="B799" s="41" t="s">
        <v>594</v>
      </c>
      <c r="C799" s="63" t="s">
        <v>415</v>
      </c>
      <c r="D799" s="17">
        <v>4851.6000000000004</v>
      </c>
      <c r="E799" s="27">
        <v>131</v>
      </c>
      <c r="F799" s="18">
        <f t="shared" si="167"/>
        <v>9.26</v>
      </c>
      <c r="G799" s="19">
        <f>ROUND(452.88/E799,2)</f>
        <v>3.46</v>
      </c>
      <c r="H799" s="45">
        <f>ROUND(1212.9/E799,2)</f>
        <v>9.26</v>
      </c>
    </row>
    <row r="800" spans="1:8" s="13" customFormat="1" ht="15.95" customHeight="1">
      <c r="A800" s="27">
        <v>629</v>
      </c>
      <c r="B800" s="41" t="s">
        <v>595</v>
      </c>
      <c r="C800" s="63" t="s">
        <v>883</v>
      </c>
      <c r="D800" s="17">
        <v>3590</v>
      </c>
      <c r="E800" s="27">
        <v>31</v>
      </c>
      <c r="F800" s="18">
        <f t="shared" si="167"/>
        <v>28.95</v>
      </c>
      <c r="G800" s="62">
        <f t="shared" ref="G800:G801" si="169">ROUND(441.63/E800,2)</f>
        <v>14.25</v>
      </c>
      <c r="H800" s="45">
        <f>ROUND(897.51/E800,2)</f>
        <v>28.95</v>
      </c>
    </row>
    <row r="801" spans="1:8" s="13" customFormat="1" ht="15.95" customHeight="1">
      <c r="A801" s="27">
        <v>630</v>
      </c>
      <c r="B801" s="41" t="s">
        <v>596</v>
      </c>
      <c r="C801" s="63" t="s">
        <v>883</v>
      </c>
      <c r="D801" s="17">
        <v>3590</v>
      </c>
      <c r="E801" s="27">
        <v>39</v>
      </c>
      <c r="F801" s="18">
        <f t="shared" si="167"/>
        <v>23.01</v>
      </c>
      <c r="G801" s="62">
        <f t="shared" si="169"/>
        <v>11.32</v>
      </c>
      <c r="H801" s="45">
        <f>ROUND(897.51/E801,2)</f>
        <v>23.01</v>
      </c>
    </row>
    <row r="802" spans="1:8" s="13" customFormat="1" ht="15.95" customHeight="1">
      <c r="A802" s="27">
        <v>631</v>
      </c>
      <c r="B802" s="41" t="s">
        <v>597</v>
      </c>
      <c r="C802" s="63" t="s">
        <v>882</v>
      </c>
      <c r="D802" s="64">
        <v>4464</v>
      </c>
      <c r="E802" s="27">
        <v>151</v>
      </c>
      <c r="F802" s="18">
        <f t="shared" si="167"/>
        <v>7.39</v>
      </c>
      <c r="G802" s="62">
        <f>ROUND(451.2/E802,2)</f>
        <v>2.99</v>
      </c>
      <c r="H802" s="45">
        <f t="shared" ref="H802:H805" si="170">ROUND(1116/E802,2)</f>
        <v>7.39</v>
      </c>
    </row>
    <row r="803" spans="1:8" s="13" customFormat="1" ht="16.5" customHeight="1">
      <c r="A803" s="27">
        <v>632</v>
      </c>
      <c r="B803" s="41" t="s">
        <v>598</v>
      </c>
      <c r="C803" s="63" t="s">
        <v>463</v>
      </c>
      <c r="D803" s="64">
        <v>4464</v>
      </c>
      <c r="E803" s="27">
        <v>95</v>
      </c>
      <c r="F803" s="18">
        <f t="shared" si="167"/>
        <v>11.75</v>
      </c>
      <c r="G803" s="62">
        <f t="shared" ref="G803:G805" si="171">ROUND(451.2/E803,2)</f>
        <v>4.75</v>
      </c>
      <c r="H803" s="45">
        <f t="shared" si="170"/>
        <v>11.75</v>
      </c>
    </row>
    <row r="804" spans="1:8" s="13" customFormat="1" ht="19.5" customHeight="1">
      <c r="A804" s="27">
        <v>633</v>
      </c>
      <c r="B804" s="41" t="s">
        <v>599</v>
      </c>
      <c r="C804" s="63" t="s">
        <v>463</v>
      </c>
      <c r="D804" s="64">
        <v>4464</v>
      </c>
      <c r="E804" s="27">
        <v>96</v>
      </c>
      <c r="F804" s="18">
        <f t="shared" si="167"/>
        <v>11.63</v>
      </c>
      <c r="G804" s="62">
        <f t="shared" si="171"/>
        <v>4.7</v>
      </c>
      <c r="H804" s="45">
        <f t="shared" si="170"/>
        <v>11.63</v>
      </c>
    </row>
    <row r="805" spans="1:8" s="13" customFormat="1" ht="15.95" customHeight="1">
      <c r="A805" s="27">
        <v>634</v>
      </c>
      <c r="B805" s="15" t="s">
        <v>855</v>
      </c>
      <c r="C805" s="63" t="s">
        <v>463</v>
      </c>
      <c r="D805" s="64">
        <v>4464</v>
      </c>
      <c r="E805" s="27">
        <v>78</v>
      </c>
      <c r="F805" s="18">
        <f t="shared" si="167"/>
        <v>14.31</v>
      </c>
      <c r="G805" s="62">
        <f t="shared" si="171"/>
        <v>5.78</v>
      </c>
      <c r="H805" s="45">
        <f t="shared" si="170"/>
        <v>14.31</v>
      </c>
    </row>
    <row r="806" spans="1:8" s="13" customFormat="1" ht="15.95" customHeight="1">
      <c r="A806" s="27">
        <v>635</v>
      </c>
      <c r="B806" s="41" t="s">
        <v>855</v>
      </c>
      <c r="C806" s="63" t="s">
        <v>714</v>
      </c>
      <c r="D806" s="17">
        <f>3590*2</f>
        <v>7180</v>
      </c>
      <c r="E806" s="27">
        <f>40+39</f>
        <v>79</v>
      </c>
      <c r="F806" s="18">
        <f t="shared" si="167"/>
        <v>22.72</v>
      </c>
      <c r="G806" s="62">
        <f>ROUND(441.63*2/E806,2)</f>
        <v>11.18</v>
      </c>
      <c r="H806" s="45">
        <f>ROUND(897.51*2/E806,2)</f>
        <v>22.72</v>
      </c>
    </row>
    <row r="807" spans="1:8" s="13" customFormat="1" ht="15.95" customHeight="1">
      <c r="A807" s="27">
        <v>636</v>
      </c>
      <c r="B807" s="41" t="s">
        <v>600</v>
      </c>
      <c r="C807" s="63" t="s">
        <v>885</v>
      </c>
      <c r="D807" s="64">
        <v>4038.8</v>
      </c>
      <c r="E807" s="27">
        <v>48</v>
      </c>
      <c r="F807" s="18">
        <f t="shared" si="167"/>
        <v>21.04</v>
      </c>
      <c r="G807" s="62">
        <f>ROUND(441.63/E807,2)</f>
        <v>9.1999999999999993</v>
      </c>
      <c r="H807" s="45">
        <f t="shared" si="164"/>
        <v>21.04</v>
      </c>
    </row>
    <row r="808" spans="1:8" s="13" customFormat="1" ht="15.95" customHeight="1">
      <c r="A808" s="27">
        <v>637</v>
      </c>
      <c r="B808" s="41" t="s">
        <v>601</v>
      </c>
      <c r="C808" s="63" t="s">
        <v>889</v>
      </c>
      <c r="D808" s="64">
        <v>4464</v>
      </c>
      <c r="E808" s="27">
        <v>104</v>
      </c>
      <c r="F808" s="18">
        <f t="shared" si="167"/>
        <v>10.73</v>
      </c>
      <c r="G808" s="19">
        <f>ROUND(482.49/E808,2)</f>
        <v>4.6399999999999997</v>
      </c>
      <c r="H808" s="45">
        <f t="shared" ref="H808" si="172">ROUND(1116/E808,2)</f>
        <v>10.73</v>
      </c>
    </row>
    <row r="809" spans="1:8" s="13" customFormat="1" ht="15.95" customHeight="1">
      <c r="A809" s="27">
        <v>638</v>
      </c>
      <c r="B809" s="41" t="s">
        <v>602</v>
      </c>
      <c r="C809" s="63" t="s">
        <v>885</v>
      </c>
      <c r="D809" s="64">
        <v>4038.8</v>
      </c>
      <c r="E809" s="27">
        <v>70</v>
      </c>
      <c r="F809" s="18">
        <f t="shared" si="167"/>
        <v>14.42</v>
      </c>
      <c r="G809" s="62">
        <f t="shared" ref="G809:G814" si="173">ROUND(441.63/E809,2)</f>
        <v>6.31</v>
      </c>
      <c r="H809" s="45">
        <f t="shared" si="164"/>
        <v>14.42</v>
      </c>
    </row>
    <row r="810" spans="1:8" s="13" customFormat="1" ht="15.95" customHeight="1">
      <c r="A810" s="27">
        <v>639</v>
      </c>
      <c r="B810" s="41" t="s">
        <v>603</v>
      </c>
      <c r="C810" s="63" t="s">
        <v>883</v>
      </c>
      <c r="D810" s="17">
        <v>3590</v>
      </c>
      <c r="E810" s="27">
        <v>72</v>
      </c>
      <c r="F810" s="18">
        <f t="shared" si="167"/>
        <v>12.47</v>
      </c>
      <c r="G810" s="62">
        <f t="shared" si="173"/>
        <v>6.13</v>
      </c>
      <c r="H810" s="45">
        <f>ROUND(897.51/E810,2)</f>
        <v>12.47</v>
      </c>
    </row>
    <row r="811" spans="1:8" s="13" customFormat="1" ht="15.95" customHeight="1">
      <c r="A811" s="27">
        <v>640</v>
      </c>
      <c r="B811" s="41" t="s">
        <v>604</v>
      </c>
      <c r="C811" s="63" t="s">
        <v>885</v>
      </c>
      <c r="D811" s="64">
        <v>4038.8</v>
      </c>
      <c r="E811" s="27">
        <v>20</v>
      </c>
      <c r="F811" s="18">
        <f t="shared" si="167"/>
        <v>50.49</v>
      </c>
      <c r="G811" s="62">
        <f t="shared" si="173"/>
        <v>22.08</v>
      </c>
      <c r="H811" s="45">
        <f t="shared" si="164"/>
        <v>50.49</v>
      </c>
    </row>
    <row r="812" spans="1:8" s="13" customFormat="1" ht="15.95" customHeight="1">
      <c r="A812" s="27">
        <v>641</v>
      </c>
      <c r="B812" s="41" t="s">
        <v>605</v>
      </c>
      <c r="C812" s="63" t="s">
        <v>885</v>
      </c>
      <c r="D812" s="64">
        <v>4038.8</v>
      </c>
      <c r="E812" s="27">
        <v>80</v>
      </c>
      <c r="F812" s="18">
        <f t="shared" si="167"/>
        <v>12.62</v>
      </c>
      <c r="G812" s="62">
        <f t="shared" si="173"/>
        <v>5.52</v>
      </c>
      <c r="H812" s="45">
        <f t="shared" si="164"/>
        <v>12.62</v>
      </c>
    </row>
    <row r="813" spans="1:8" s="13" customFormat="1" ht="15.95" customHeight="1">
      <c r="A813" s="27">
        <v>642</v>
      </c>
      <c r="B813" s="41" t="s">
        <v>606</v>
      </c>
      <c r="C813" s="63" t="s">
        <v>883</v>
      </c>
      <c r="D813" s="17">
        <v>3590</v>
      </c>
      <c r="E813" s="27">
        <v>40</v>
      </c>
      <c r="F813" s="18">
        <f t="shared" si="167"/>
        <v>22.44</v>
      </c>
      <c r="G813" s="62">
        <f t="shared" si="173"/>
        <v>11.04</v>
      </c>
      <c r="H813" s="45">
        <f>ROUND(897.51/E813,2)</f>
        <v>22.44</v>
      </c>
    </row>
    <row r="814" spans="1:8" s="13" customFormat="1" ht="15.95" customHeight="1">
      <c r="A814" s="27">
        <v>643</v>
      </c>
      <c r="B814" s="41" t="s">
        <v>607</v>
      </c>
      <c r="C814" s="63" t="s">
        <v>885</v>
      </c>
      <c r="D814" s="64">
        <v>4038.8</v>
      </c>
      <c r="E814" s="27">
        <v>40</v>
      </c>
      <c r="F814" s="18">
        <f t="shared" si="167"/>
        <v>25.24</v>
      </c>
      <c r="G814" s="62">
        <f t="shared" si="173"/>
        <v>11.04</v>
      </c>
      <c r="H814" s="45">
        <f t="shared" si="164"/>
        <v>25.24</v>
      </c>
    </row>
    <row r="815" spans="1:8" s="13" customFormat="1" ht="15.95" customHeight="1">
      <c r="A815" s="27">
        <v>644</v>
      </c>
      <c r="B815" s="41" t="s">
        <v>608</v>
      </c>
      <c r="C815" s="63" t="s">
        <v>463</v>
      </c>
      <c r="D815" s="64">
        <v>4464</v>
      </c>
      <c r="E815" s="27">
        <v>112</v>
      </c>
      <c r="F815" s="18">
        <f t="shared" si="167"/>
        <v>9.9600000000000009</v>
      </c>
      <c r="G815" s="62">
        <f>ROUND(451.2/E815,2)</f>
        <v>4.03</v>
      </c>
      <c r="H815" s="45">
        <f t="shared" ref="H815" si="174">ROUND(1116/E815,2)</f>
        <v>9.9600000000000009</v>
      </c>
    </row>
    <row r="816" spans="1:8" s="13" customFormat="1" ht="15.95" customHeight="1">
      <c r="A816" s="27">
        <v>645</v>
      </c>
      <c r="B816" s="41" t="s">
        <v>609</v>
      </c>
      <c r="C816" s="63" t="s">
        <v>610</v>
      </c>
      <c r="D816" s="64">
        <v>4038.8</v>
      </c>
      <c r="E816" s="27">
        <v>70</v>
      </c>
      <c r="F816" s="18">
        <f t="shared" si="167"/>
        <v>14.42</v>
      </c>
      <c r="G816" s="62">
        <f>ROUND(441.63/E816,2)</f>
        <v>6.31</v>
      </c>
      <c r="H816" s="45">
        <f t="shared" si="164"/>
        <v>14.42</v>
      </c>
    </row>
    <row r="817" spans="1:8" s="13" customFormat="1" ht="15.95" customHeight="1">
      <c r="A817" s="27">
        <v>646</v>
      </c>
      <c r="B817" s="41" t="s">
        <v>611</v>
      </c>
      <c r="C817" s="63" t="s">
        <v>101</v>
      </c>
      <c r="D817" s="64">
        <v>4038.8</v>
      </c>
      <c r="E817" s="27">
        <v>68</v>
      </c>
      <c r="F817" s="18">
        <f t="shared" si="167"/>
        <v>14.85</v>
      </c>
      <c r="G817" s="62">
        <f>ROUND(441.63/E817,2)</f>
        <v>6.49</v>
      </c>
      <c r="H817" s="45">
        <f t="shared" si="164"/>
        <v>14.85</v>
      </c>
    </row>
    <row r="818" spans="1:8" s="13" customFormat="1" ht="15.95" customHeight="1">
      <c r="A818" s="27">
        <v>647</v>
      </c>
      <c r="B818" s="41" t="s">
        <v>612</v>
      </c>
      <c r="C818" s="63" t="s">
        <v>101</v>
      </c>
      <c r="D818" s="64">
        <v>4038.8</v>
      </c>
      <c r="E818" s="27">
        <v>70</v>
      </c>
      <c r="F818" s="18">
        <f t="shared" si="167"/>
        <v>14.42</v>
      </c>
      <c r="G818" s="62">
        <f t="shared" ref="G818:G819" si="175">ROUND(441.63/E818,2)</f>
        <v>6.31</v>
      </c>
      <c r="H818" s="45">
        <f t="shared" si="164"/>
        <v>14.42</v>
      </c>
    </row>
    <row r="819" spans="1:8" s="13" customFormat="1" ht="15.95" customHeight="1">
      <c r="A819" s="27">
        <v>648</v>
      </c>
      <c r="B819" s="41" t="s">
        <v>613</v>
      </c>
      <c r="C819" s="63" t="s">
        <v>49</v>
      </c>
      <c r="D819" s="17">
        <v>3590</v>
      </c>
      <c r="E819" s="27">
        <v>39</v>
      </c>
      <c r="F819" s="18">
        <f t="shared" si="167"/>
        <v>23.01</v>
      </c>
      <c r="G819" s="62">
        <f t="shared" si="175"/>
        <v>11.32</v>
      </c>
      <c r="H819" s="45">
        <f>ROUND(897.51/E819,2)</f>
        <v>23.01</v>
      </c>
    </row>
    <row r="820" spans="1:8" s="13" customFormat="1" ht="15.95" customHeight="1">
      <c r="A820" s="27">
        <v>649</v>
      </c>
      <c r="B820" s="41" t="s">
        <v>614</v>
      </c>
      <c r="C820" s="63" t="s">
        <v>463</v>
      </c>
      <c r="D820" s="64">
        <v>4464</v>
      </c>
      <c r="E820" s="27">
        <v>140</v>
      </c>
      <c r="F820" s="18">
        <f t="shared" si="167"/>
        <v>7.97</v>
      </c>
      <c r="G820" s="62">
        <f>ROUND(451.2/E820,2)</f>
        <v>3.22</v>
      </c>
      <c r="H820" s="45">
        <f t="shared" ref="H820" si="176">ROUND(1116/E820,2)</f>
        <v>7.97</v>
      </c>
    </row>
    <row r="821" spans="1:8" s="13" customFormat="1" ht="5.45" customHeight="1">
      <c r="A821" s="101">
        <v>650</v>
      </c>
      <c r="B821" s="114" t="s">
        <v>840</v>
      </c>
      <c r="C821" s="20" t="s">
        <v>49</v>
      </c>
      <c r="D821" s="69">
        <f>3590*3</f>
        <v>10770</v>
      </c>
      <c r="E821" s="101">
        <f>34+39+40</f>
        <v>113</v>
      </c>
      <c r="F821" s="73">
        <f>ROUND(D821/E821/4,2)</f>
        <v>23.83</v>
      </c>
      <c r="G821" s="113">
        <f>ROUND(441.63*3/E821,2)</f>
        <v>11.72</v>
      </c>
      <c r="H821" s="65">
        <f>ROUND(897.51*3/E821,2)</f>
        <v>23.83</v>
      </c>
    </row>
    <row r="822" spans="1:8" s="13" customFormat="1" ht="5.45" customHeight="1">
      <c r="A822" s="101"/>
      <c r="B822" s="114"/>
      <c r="C822" s="22" t="s">
        <v>588</v>
      </c>
      <c r="D822" s="77" t="e">
        <f>#REF!+#REF!</f>
        <v>#REF!</v>
      </c>
      <c r="E822" s="101"/>
      <c r="F822" s="81" t="e">
        <f t="shared" si="165"/>
        <v>#REF!</v>
      </c>
      <c r="G822" s="113">
        <f t="shared" si="166"/>
        <v>8.0607272727272719</v>
      </c>
      <c r="H822" s="65"/>
    </row>
    <row r="823" spans="1:8" s="13" customFormat="1" ht="5.45" customHeight="1">
      <c r="A823" s="101"/>
      <c r="B823" s="114"/>
      <c r="C823" s="23" t="s">
        <v>49</v>
      </c>
      <c r="D823" s="70" t="e">
        <f>#REF!+#REF!</f>
        <v>#REF!</v>
      </c>
      <c r="E823" s="101"/>
      <c r="F823" s="74" t="e">
        <f t="shared" si="165"/>
        <v>#REF!</v>
      </c>
      <c r="G823" s="113">
        <f t="shared" si="166"/>
        <v>8.0607272727272719</v>
      </c>
      <c r="H823" s="65"/>
    </row>
    <row r="824" spans="1:8" s="13" customFormat="1" ht="15.95" customHeight="1">
      <c r="A824" s="27">
        <v>651</v>
      </c>
      <c r="B824" s="41" t="s">
        <v>615</v>
      </c>
      <c r="C824" s="63" t="s">
        <v>616</v>
      </c>
      <c r="D824" s="17">
        <v>3590</v>
      </c>
      <c r="E824" s="27">
        <v>34</v>
      </c>
      <c r="F824" s="18">
        <f t="shared" ref="F824:F836" si="177">ROUND(D824/E824/4,2)</f>
        <v>26.4</v>
      </c>
      <c r="G824" s="62">
        <f>ROUND(469.47/E824,2)</f>
        <v>13.81</v>
      </c>
      <c r="H824" s="45">
        <f>ROUND(897.51/E824,2)</f>
        <v>26.4</v>
      </c>
    </row>
    <row r="825" spans="1:8" s="13" customFormat="1" ht="15.95" customHeight="1">
      <c r="A825" s="27">
        <v>652</v>
      </c>
      <c r="B825" s="41" t="s">
        <v>617</v>
      </c>
      <c r="C825" s="63" t="s">
        <v>471</v>
      </c>
      <c r="D825" s="64">
        <v>2702.6</v>
      </c>
      <c r="E825" s="27">
        <v>20</v>
      </c>
      <c r="F825" s="18">
        <f t="shared" si="177"/>
        <v>33.78</v>
      </c>
      <c r="G825" s="62">
        <f>ROUND(441.63/E825,2)</f>
        <v>22.08</v>
      </c>
      <c r="H825" s="45">
        <f>ROUND(675.66/E825,2)</f>
        <v>33.78</v>
      </c>
    </row>
    <row r="826" spans="1:8" s="13" customFormat="1" ht="15.95" customHeight="1">
      <c r="A826" s="27">
        <v>653</v>
      </c>
      <c r="B826" s="41" t="s">
        <v>618</v>
      </c>
      <c r="C826" s="63" t="s">
        <v>101</v>
      </c>
      <c r="D826" s="64">
        <v>4038.8</v>
      </c>
      <c r="E826" s="27">
        <v>50</v>
      </c>
      <c r="F826" s="18">
        <f t="shared" si="177"/>
        <v>20.190000000000001</v>
      </c>
      <c r="G826" s="62">
        <f t="shared" ref="G826:G827" si="178">ROUND(441.63/E826,2)</f>
        <v>8.83</v>
      </c>
      <c r="H826" s="45">
        <f t="shared" si="164"/>
        <v>20.190000000000001</v>
      </c>
    </row>
    <row r="827" spans="1:8" s="13" customFormat="1" ht="15.95" customHeight="1">
      <c r="A827" s="27">
        <v>654</v>
      </c>
      <c r="B827" s="41" t="s">
        <v>619</v>
      </c>
      <c r="C827" s="63" t="s">
        <v>101</v>
      </c>
      <c r="D827" s="64">
        <v>4038.8</v>
      </c>
      <c r="E827" s="27">
        <v>50</v>
      </c>
      <c r="F827" s="18">
        <f t="shared" si="177"/>
        <v>20.190000000000001</v>
      </c>
      <c r="G827" s="62">
        <f t="shared" si="178"/>
        <v>8.83</v>
      </c>
      <c r="H827" s="45">
        <f t="shared" si="164"/>
        <v>20.190000000000001</v>
      </c>
    </row>
    <row r="828" spans="1:8" s="13" customFormat="1" ht="15.95" customHeight="1">
      <c r="A828" s="27">
        <v>655</v>
      </c>
      <c r="B828" s="41" t="s">
        <v>620</v>
      </c>
      <c r="C828" s="63" t="s">
        <v>415</v>
      </c>
      <c r="D828" s="17">
        <v>4851.6000000000004</v>
      </c>
      <c r="E828" s="27">
        <v>245</v>
      </c>
      <c r="F828" s="18">
        <f t="shared" si="177"/>
        <v>4.95</v>
      </c>
      <c r="G828" s="19">
        <f>ROUND(452.88/E828,2)</f>
        <v>1.85</v>
      </c>
      <c r="H828" s="45">
        <f>ROUND(1212.9/E828,2)</f>
        <v>4.95</v>
      </c>
    </row>
    <row r="829" spans="1:8" s="13" customFormat="1" ht="15.95" customHeight="1">
      <c r="A829" s="27">
        <v>656</v>
      </c>
      <c r="B829" s="41" t="s">
        <v>621</v>
      </c>
      <c r="C829" s="63" t="s">
        <v>49</v>
      </c>
      <c r="D829" s="17">
        <v>3590</v>
      </c>
      <c r="E829" s="27">
        <v>36</v>
      </c>
      <c r="F829" s="18">
        <f t="shared" si="177"/>
        <v>24.93</v>
      </c>
      <c r="G829" s="62">
        <f>ROUND(441.63/E829,2)</f>
        <v>12.27</v>
      </c>
      <c r="H829" s="45">
        <f>ROUND(897.51/E829,2)</f>
        <v>24.93</v>
      </c>
    </row>
    <row r="830" spans="1:8" s="13" customFormat="1" ht="15.95" customHeight="1">
      <c r="A830" s="27">
        <v>657</v>
      </c>
      <c r="B830" s="41" t="s">
        <v>622</v>
      </c>
      <c r="C830" s="63" t="s">
        <v>884</v>
      </c>
      <c r="D830" s="64">
        <v>2702.6</v>
      </c>
      <c r="E830" s="27">
        <v>11</v>
      </c>
      <c r="F830" s="18">
        <f t="shared" si="177"/>
        <v>61.42</v>
      </c>
      <c r="G830" s="62">
        <f t="shared" ref="G830:G833" si="179">ROUND(441.63/E830,2)</f>
        <v>40.15</v>
      </c>
      <c r="H830" s="45">
        <f>ROUND(675.66/E830,2)</f>
        <v>61.42</v>
      </c>
    </row>
    <row r="831" spans="1:8" s="13" customFormat="1" ht="15.95" customHeight="1">
      <c r="A831" s="27">
        <v>658</v>
      </c>
      <c r="B831" s="41" t="s">
        <v>623</v>
      </c>
      <c r="C831" s="63" t="s">
        <v>884</v>
      </c>
      <c r="D831" s="64">
        <v>2702.6</v>
      </c>
      <c r="E831" s="27">
        <v>23</v>
      </c>
      <c r="F831" s="18">
        <f t="shared" si="177"/>
        <v>29.38</v>
      </c>
      <c r="G831" s="62">
        <f t="shared" si="179"/>
        <v>19.2</v>
      </c>
      <c r="H831" s="45">
        <f>ROUND(675.66/E831,2)</f>
        <v>29.38</v>
      </c>
    </row>
    <row r="832" spans="1:8" s="13" customFormat="1" ht="15.95" customHeight="1">
      <c r="A832" s="27">
        <v>659</v>
      </c>
      <c r="B832" s="41" t="s">
        <v>624</v>
      </c>
      <c r="C832" s="63" t="s">
        <v>49</v>
      </c>
      <c r="D832" s="17">
        <v>3590</v>
      </c>
      <c r="E832" s="27">
        <v>36</v>
      </c>
      <c r="F832" s="18">
        <f t="shared" si="177"/>
        <v>24.93</v>
      </c>
      <c r="G832" s="62">
        <f t="shared" si="179"/>
        <v>12.27</v>
      </c>
      <c r="H832" s="45">
        <f>ROUND(897.51/E832,2)</f>
        <v>24.93</v>
      </c>
    </row>
    <row r="833" spans="1:8" s="13" customFormat="1" ht="15.95" customHeight="1">
      <c r="A833" s="27">
        <v>660</v>
      </c>
      <c r="B833" s="41" t="s">
        <v>625</v>
      </c>
      <c r="C833" s="63" t="s">
        <v>49</v>
      </c>
      <c r="D833" s="17">
        <v>3590</v>
      </c>
      <c r="E833" s="27">
        <v>49</v>
      </c>
      <c r="F833" s="18">
        <f t="shared" si="177"/>
        <v>18.32</v>
      </c>
      <c r="G833" s="62">
        <f t="shared" si="179"/>
        <v>9.01</v>
      </c>
      <c r="H833" s="45">
        <f>ROUND(897.51/E833,2)</f>
        <v>18.32</v>
      </c>
    </row>
    <row r="834" spans="1:8" s="13" customFormat="1" ht="15.95" customHeight="1">
      <c r="A834" s="27">
        <v>661</v>
      </c>
      <c r="B834" s="41" t="s">
        <v>626</v>
      </c>
      <c r="C834" s="63" t="s">
        <v>885</v>
      </c>
      <c r="D834" s="64">
        <v>4038.8</v>
      </c>
      <c r="E834" s="27">
        <v>111</v>
      </c>
      <c r="F834" s="18">
        <f t="shared" si="177"/>
        <v>9.1</v>
      </c>
      <c r="G834" s="62">
        <f>ROUND(441.63/E834,2)</f>
        <v>3.98</v>
      </c>
      <c r="H834" s="45">
        <f t="shared" si="164"/>
        <v>9.1</v>
      </c>
    </row>
    <row r="835" spans="1:8" s="13" customFormat="1" ht="15.95" customHeight="1">
      <c r="A835" s="27">
        <v>662</v>
      </c>
      <c r="B835" s="41" t="s">
        <v>627</v>
      </c>
      <c r="C835" s="63" t="s">
        <v>463</v>
      </c>
      <c r="D835" s="64">
        <v>4464</v>
      </c>
      <c r="E835" s="27">
        <v>60</v>
      </c>
      <c r="F835" s="18">
        <f t="shared" si="177"/>
        <v>18.600000000000001</v>
      </c>
      <c r="G835" s="62">
        <f>ROUND(451.2/E835,2)</f>
        <v>7.52</v>
      </c>
      <c r="H835" s="45">
        <f t="shared" ref="H835" si="180">ROUND(1116/E835,2)</f>
        <v>18.600000000000001</v>
      </c>
    </row>
    <row r="836" spans="1:8" s="13" customFormat="1" ht="15.95" customHeight="1">
      <c r="A836" s="27">
        <v>663</v>
      </c>
      <c r="B836" s="41" t="s">
        <v>628</v>
      </c>
      <c r="C836" s="63" t="s">
        <v>884</v>
      </c>
      <c r="D836" s="64">
        <v>2702.6</v>
      </c>
      <c r="E836" s="27">
        <v>8</v>
      </c>
      <c r="F836" s="18">
        <f t="shared" si="177"/>
        <v>84.46</v>
      </c>
      <c r="G836" s="62">
        <f>ROUND(441.63/E836,2)</f>
        <v>55.2</v>
      </c>
      <c r="H836" s="45">
        <f>ROUND(675.66/E836,2)</f>
        <v>84.46</v>
      </c>
    </row>
    <row r="837" spans="1:8" s="13" customFormat="1" ht="3.95" customHeight="1">
      <c r="A837" s="101">
        <v>664</v>
      </c>
      <c r="B837" s="114" t="s">
        <v>841</v>
      </c>
      <c r="C837" s="20" t="s">
        <v>49</v>
      </c>
      <c r="D837" s="69">
        <f>3590*3+4464</f>
        <v>15234</v>
      </c>
      <c r="E837" s="101">
        <f>36+36+36</f>
        <v>108</v>
      </c>
      <c r="F837" s="73">
        <f>ROUND(D837/E837/4,2)</f>
        <v>35.26</v>
      </c>
      <c r="G837" s="113">
        <f>ROUND((441.63*3+451.2)/E837,2)</f>
        <v>16.45</v>
      </c>
      <c r="H837" s="65">
        <f>ROUND((897.51*3+1116)/E837,2)</f>
        <v>35.26</v>
      </c>
    </row>
    <row r="838" spans="1:8" s="13" customFormat="1" ht="3.95" customHeight="1">
      <c r="A838" s="101"/>
      <c r="B838" s="114"/>
      <c r="C838" s="22" t="s">
        <v>49</v>
      </c>
      <c r="D838" s="77" t="e">
        <f>#REF!+#REF!</f>
        <v>#REF!</v>
      </c>
      <c r="E838" s="101"/>
      <c r="F838" s="81" t="e">
        <f t="shared" ref="F838:F877" si="181">D838/E838/4</f>
        <v>#REF!</v>
      </c>
      <c r="G838" s="113">
        <f t="shared" ref="G838:G877" si="182">443.34*1/55</f>
        <v>8.0607272727272719</v>
      </c>
      <c r="H838" s="65"/>
    </row>
    <row r="839" spans="1:8" s="13" customFormat="1" ht="3.95" customHeight="1">
      <c r="A839" s="101"/>
      <c r="B839" s="114"/>
      <c r="C839" s="22" t="s">
        <v>49</v>
      </c>
      <c r="D839" s="77" t="e">
        <f>#REF!+#REF!</f>
        <v>#REF!</v>
      </c>
      <c r="E839" s="101"/>
      <c r="F839" s="81" t="e">
        <f t="shared" si="181"/>
        <v>#REF!</v>
      </c>
      <c r="G839" s="113">
        <f t="shared" si="182"/>
        <v>8.0607272727272719</v>
      </c>
      <c r="H839" s="65"/>
    </row>
    <row r="840" spans="1:8" s="13" customFormat="1" ht="3.95" customHeight="1">
      <c r="A840" s="101"/>
      <c r="B840" s="114"/>
      <c r="C840" s="23" t="s">
        <v>463</v>
      </c>
      <c r="D840" s="70" t="e">
        <f>#REF!+#REF!</f>
        <v>#REF!</v>
      </c>
      <c r="E840" s="101"/>
      <c r="F840" s="74" t="e">
        <f t="shared" si="181"/>
        <v>#REF!</v>
      </c>
      <c r="G840" s="113">
        <f t="shared" si="182"/>
        <v>8.0607272727272719</v>
      </c>
      <c r="H840" s="65"/>
    </row>
    <row r="841" spans="1:8" s="13" customFormat="1" ht="15.95" customHeight="1">
      <c r="A841" s="27">
        <v>665</v>
      </c>
      <c r="B841" s="41" t="s">
        <v>629</v>
      </c>
      <c r="C841" s="63" t="s">
        <v>49</v>
      </c>
      <c r="D841" s="17">
        <v>3590</v>
      </c>
      <c r="E841" s="27">
        <v>48</v>
      </c>
      <c r="F841" s="18">
        <f t="shared" ref="F841:F863" si="183">ROUND(D841/E841/4,2)</f>
        <v>18.7</v>
      </c>
      <c r="G841" s="62">
        <f>ROUND(441.63/E841,2)</f>
        <v>9.1999999999999993</v>
      </c>
      <c r="H841" s="45">
        <f>ROUND(897.51/E841,2)</f>
        <v>18.7</v>
      </c>
    </row>
    <row r="842" spans="1:8" s="13" customFormat="1" ht="15.95" customHeight="1">
      <c r="A842" s="27">
        <v>666</v>
      </c>
      <c r="B842" s="41" t="s">
        <v>630</v>
      </c>
      <c r="C842" s="63" t="s">
        <v>49</v>
      </c>
      <c r="D842" s="17">
        <v>3590</v>
      </c>
      <c r="E842" s="27">
        <v>21</v>
      </c>
      <c r="F842" s="18">
        <f t="shared" si="183"/>
        <v>42.74</v>
      </c>
      <c r="G842" s="62">
        <f>ROUND(441.63/E842,2)</f>
        <v>21.03</v>
      </c>
      <c r="H842" s="45">
        <f>ROUND(897.51/E842,2)</f>
        <v>42.74</v>
      </c>
    </row>
    <row r="843" spans="1:8" s="13" customFormat="1" ht="15.95" customHeight="1">
      <c r="A843" s="27">
        <v>667</v>
      </c>
      <c r="B843" s="41" t="s">
        <v>631</v>
      </c>
      <c r="C843" s="63" t="s">
        <v>882</v>
      </c>
      <c r="D843" s="64">
        <v>4464</v>
      </c>
      <c r="E843" s="27">
        <v>100</v>
      </c>
      <c r="F843" s="18">
        <f t="shared" si="183"/>
        <v>11.16</v>
      </c>
      <c r="G843" s="62">
        <f>ROUND(451.2/E843,2)</f>
        <v>4.51</v>
      </c>
      <c r="H843" s="45">
        <f t="shared" ref="H843" si="184">ROUND(1116/E843,2)</f>
        <v>11.16</v>
      </c>
    </row>
    <row r="844" spans="1:8" s="13" customFormat="1" ht="15.95" customHeight="1">
      <c r="A844" s="27">
        <v>668</v>
      </c>
      <c r="B844" s="41" t="s">
        <v>632</v>
      </c>
      <c r="C844" s="63" t="s">
        <v>884</v>
      </c>
      <c r="D844" s="64">
        <v>2702.6</v>
      </c>
      <c r="E844" s="27">
        <v>9</v>
      </c>
      <c r="F844" s="18">
        <f t="shared" si="183"/>
        <v>75.069999999999993</v>
      </c>
      <c r="G844" s="62">
        <f>ROUND(441.63/E844,2)</f>
        <v>49.07</v>
      </c>
      <c r="H844" s="45">
        <f>ROUND(675.66/E844,2)</f>
        <v>75.069999999999993</v>
      </c>
    </row>
    <row r="845" spans="1:8" s="13" customFormat="1" ht="15.95" customHeight="1">
      <c r="A845" s="27">
        <v>669</v>
      </c>
      <c r="B845" s="41" t="s">
        <v>633</v>
      </c>
      <c r="C845" s="63" t="s">
        <v>463</v>
      </c>
      <c r="D845" s="64">
        <v>4464</v>
      </c>
      <c r="E845" s="27">
        <v>98</v>
      </c>
      <c r="F845" s="18">
        <f t="shared" si="183"/>
        <v>11.39</v>
      </c>
      <c r="G845" s="62">
        <f>ROUND(451.2/E845,2)</f>
        <v>4.5999999999999996</v>
      </c>
      <c r="H845" s="45">
        <f t="shared" ref="H845:H846" si="185">ROUND(1116/E845,2)</f>
        <v>11.39</v>
      </c>
    </row>
    <row r="846" spans="1:8" s="13" customFormat="1" ht="15.95" customHeight="1">
      <c r="A846" s="27">
        <v>670</v>
      </c>
      <c r="B846" s="41" t="s">
        <v>634</v>
      </c>
      <c r="C846" s="63" t="s">
        <v>635</v>
      </c>
      <c r="D846" s="64">
        <v>4464</v>
      </c>
      <c r="E846" s="27">
        <v>158</v>
      </c>
      <c r="F846" s="18">
        <f t="shared" si="183"/>
        <v>7.06</v>
      </c>
      <c r="G846" s="62">
        <f>ROUND(482.49/E846,2)</f>
        <v>3.05</v>
      </c>
      <c r="H846" s="45">
        <f t="shared" si="185"/>
        <v>7.06</v>
      </c>
    </row>
    <row r="847" spans="1:8" s="13" customFormat="1" ht="15.95" customHeight="1">
      <c r="A847" s="27">
        <v>671</v>
      </c>
      <c r="B847" s="41" t="s">
        <v>636</v>
      </c>
      <c r="C847" s="63" t="s">
        <v>885</v>
      </c>
      <c r="D847" s="64">
        <v>4038.8</v>
      </c>
      <c r="E847" s="27">
        <v>219</v>
      </c>
      <c r="F847" s="18">
        <f t="shared" si="183"/>
        <v>4.6100000000000003</v>
      </c>
      <c r="G847" s="62">
        <f>ROUND(441.63/E847,2)</f>
        <v>2.02</v>
      </c>
      <c r="H847" s="45">
        <f t="shared" ref="H847:H878" si="186">ROUND(1009.71/E847,2)</f>
        <v>4.6100000000000003</v>
      </c>
    </row>
    <row r="848" spans="1:8" s="13" customFormat="1" ht="15.95" customHeight="1">
      <c r="A848" s="27">
        <v>672</v>
      </c>
      <c r="B848" s="41" t="s">
        <v>637</v>
      </c>
      <c r="C848" s="63" t="s">
        <v>463</v>
      </c>
      <c r="D848" s="64">
        <v>4464</v>
      </c>
      <c r="E848" s="27">
        <v>120</v>
      </c>
      <c r="F848" s="18">
        <f t="shared" si="183"/>
        <v>9.3000000000000007</v>
      </c>
      <c r="G848" s="62">
        <f>ROUND(451.2/E848,2)</f>
        <v>3.76</v>
      </c>
      <c r="H848" s="45">
        <f t="shared" ref="H848" si="187">ROUND(1116/E848,2)</f>
        <v>9.3000000000000007</v>
      </c>
    </row>
    <row r="849" spans="1:8" s="13" customFormat="1" ht="15.95" customHeight="1">
      <c r="A849" s="27">
        <v>673</v>
      </c>
      <c r="B849" s="41" t="s">
        <v>638</v>
      </c>
      <c r="C849" s="63" t="s">
        <v>885</v>
      </c>
      <c r="D849" s="64">
        <v>4038.8</v>
      </c>
      <c r="E849" s="27">
        <v>61</v>
      </c>
      <c r="F849" s="18">
        <f t="shared" si="183"/>
        <v>16.55</v>
      </c>
      <c r="G849" s="62">
        <f t="shared" ref="G849:G850" si="188">ROUND(441.63/E849,2)</f>
        <v>7.24</v>
      </c>
      <c r="H849" s="45">
        <f t="shared" si="186"/>
        <v>16.55</v>
      </c>
    </row>
    <row r="850" spans="1:8" s="13" customFormat="1" ht="15.95" customHeight="1">
      <c r="A850" s="27">
        <v>674</v>
      </c>
      <c r="B850" s="41" t="s">
        <v>639</v>
      </c>
      <c r="C850" s="63" t="s">
        <v>885</v>
      </c>
      <c r="D850" s="64">
        <v>4038.8</v>
      </c>
      <c r="E850" s="27">
        <v>79</v>
      </c>
      <c r="F850" s="18">
        <f t="shared" si="183"/>
        <v>12.78</v>
      </c>
      <c r="G850" s="62">
        <f t="shared" si="188"/>
        <v>5.59</v>
      </c>
      <c r="H850" s="45">
        <f t="shared" si="186"/>
        <v>12.78</v>
      </c>
    </row>
    <row r="851" spans="1:8" s="13" customFormat="1" ht="15.95" customHeight="1">
      <c r="A851" s="27">
        <v>675</v>
      </c>
      <c r="B851" s="41" t="s">
        <v>640</v>
      </c>
      <c r="C851" s="63" t="s">
        <v>49</v>
      </c>
      <c r="D851" s="17">
        <v>3590</v>
      </c>
      <c r="E851" s="27">
        <v>58</v>
      </c>
      <c r="F851" s="18">
        <f t="shared" si="183"/>
        <v>15.47</v>
      </c>
      <c r="G851" s="62">
        <f>ROUND(441.63/E851,2)</f>
        <v>7.61</v>
      </c>
      <c r="H851" s="45">
        <f>ROUND(897.51/E851,2)</f>
        <v>15.47</v>
      </c>
    </row>
    <row r="852" spans="1:8" s="13" customFormat="1" ht="15.95" customHeight="1">
      <c r="A852" s="27">
        <v>676</v>
      </c>
      <c r="B852" s="41" t="s">
        <v>641</v>
      </c>
      <c r="C852" s="63" t="s">
        <v>884</v>
      </c>
      <c r="D852" s="64">
        <v>2702.6</v>
      </c>
      <c r="E852" s="27">
        <v>11</v>
      </c>
      <c r="F852" s="18">
        <f t="shared" si="183"/>
        <v>61.42</v>
      </c>
      <c r="G852" s="62">
        <f t="shared" ref="G852:G854" si="189">ROUND(441.63/E852,2)</f>
        <v>40.15</v>
      </c>
      <c r="H852" s="45">
        <f>ROUND(675.66/E852,2)</f>
        <v>61.42</v>
      </c>
    </row>
    <row r="853" spans="1:8" s="13" customFormat="1" ht="15.95" customHeight="1">
      <c r="A853" s="27">
        <v>677</v>
      </c>
      <c r="B853" s="41" t="s">
        <v>642</v>
      </c>
      <c r="C853" s="63" t="s">
        <v>885</v>
      </c>
      <c r="D853" s="64">
        <v>4038.8</v>
      </c>
      <c r="E853" s="27">
        <v>34</v>
      </c>
      <c r="F853" s="18">
        <f t="shared" si="183"/>
        <v>29.7</v>
      </c>
      <c r="G853" s="62">
        <f t="shared" si="189"/>
        <v>12.99</v>
      </c>
      <c r="H853" s="45">
        <f t="shared" si="186"/>
        <v>29.7</v>
      </c>
    </row>
    <row r="854" spans="1:8" s="13" customFormat="1" ht="15.95" customHeight="1">
      <c r="A854" s="27">
        <v>678</v>
      </c>
      <c r="B854" s="41" t="s">
        <v>643</v>
      </c>
      <c r="C854" s="63" t="s">
        <v>883</v>
      </c>
      <c r="D854" s="17">
        <v>3590</v>
      </c>
      <c r="E854" s="27">
        <v>19</v>
      </c>
      <c r="F854" s="18">
        <f t="shared" si="183"/>
        <v>47.24</v>
      </c>
      <c r="G854" s="62">
        <f t="shared" si="189"/>
        <v>23.24</v>
      </c>
      <c r="H854" s="45">
        <f>ROUND(897.51/E854,2)</f>
        <v>47.24</v>
      </c>
    </row>
    <row r="855" spans="1:8" s="13" customFormat="1" ht="15.95" customHeight="1">
      <c r="A855" s="27">
        <v>679</v>
      </c>
      <c r="B855" s="41" t="s">
        <v>644</v>
      </c>
      <c r="C855" s="63" t="s">
        <v>49</v>
      </c>
      <c r="D855" s="17">
        <v>3590</v>
      </c>
      <c r="E855" s="27">
        <v>39</v>
      </c>
      <c r="F855" s="18">
        <f t="shared" si="183"/>
        <v>23.01</v>
      </c>
      <c r="G855" s="62">
        <f>ROUND(441.63/E855,2)</f>
        <v>11.32</v>
      </c>
      <c r="H855" s="45">
        <f>ROUND(897.51/E855,2)</f>
        <v>23.01</v>
      </c>
    </row>
    <row r="856" spans="1:8" s="13" customFormat="1" ht="15.95" customHeight="1">
      <c r="A856" s="27">
        <v>680</v>
      </c>
      <c r="B856" s="41" t="s">
        <v>645</v>
      </c>
      <c r="C856" s="63" t="s">
        <v>646</v>
      </c>
      <c r="D856" s="17">
        <v>3590</v>
      </c>
      <c r="E856" s="27">
        <v>59</v>
      </c>
      <c r="F856" s="18">
        <f t="shared" si="183"/>
        <v>15.21</v>
      </c>
      <c r="G856" s="62">
        <f>ROUND(469.47/E856,2)</f>
        <v>7.96</v>
      </c>
      <c r="H856" s="45">
        <f>ROUND(897.51/E856,2)</f>
        <v>15.21</v>
      </c>
    </row>
    <row r="857" spans="1:8" s="13" customFormat="1" ht="15.95" customHeight="1">
      <c r="A857" s="27">
        <v>681</v>
      </c>
      <c r="B857" s="41" t="s">
        <v>844</v>
      </c>
      <c r="C857" s="63" t="s">
        <v>16</v>
      </c>
      <c r="D857" s="64">
        <v>4038.8</v>
      </c>
      <c r="E857" s="27">
        <v>48</v>
      </c>
      <c r="F857" s="18">
        <f t="shared" si="183"/>
        <v>21.04</v>
      </c>
      <c r="G857" s="62">
        <f>ROUND(441.63/E857,2)</f>
        <v>9.1999999999999993</v>
      </c>
      <c r="H857" s="45">
        <f t="shared" si="186"/>
        <v>21.04</v>
      </c>
    </row>
    <row r="858" spans="1:8" s="13" customFormat="1" ht="15.95" customHeight="1">
      <c r="A858" s="27">
        <v>682</v>
      </c>
      <c r="B858" s="41" t="s">
        <v>647</v>
      </c>
      <c r="C858" s="63" t="s">
        <v>883</v>
      </c>
      <c r="D858" s="17">
        <v>3590</v>
      </c>
      <c r="E858" s="27">
        <v>26</v>
      </c>
      <c r="F858" s="18">
        <f t="shared" si="183"/>
        <v>34.520000000000003</v>
      </c>
      <c r="G858" s="62">
        <f>ROUND(441.63/E858,2)</f>
        <v>16.989999999999998</v>
      </c>
      <c r="H858" s="45">
        <f>ROUND(897.51/E858,2)</f>
        <v>34.520000000000003</v>
      </c>
    </row>
    <row r="859" spans="1:8" s="13" customFormat="1" ht="15.95" customHeight="1">
      <c r="A859" s="27">
        <v>683</v>
      </c>
      <c r="B859" s="41" t="s">
        <v>648</v>
      </c>
      <c r="C859" s="63" t="s">
        <v>49</v>
      </c>
      <c r="D859" s="17">
        <v>3590</v>
      </c>
      <c r="E859" s="27">
        <v>34</v>
      </c>
      <c r="F859" s="18">
        <f t="shared" si="183"/>
        <v>26.4</v>
      </c>
      <c r="G859" s="62">
        <f t="shared" ref="G859:G860" si="190">ROUND(441.63/E859,2)</f>
        <v>12.99</v>
      </c>
      <c r="H859" s="45">
        <f>ROUND(897.51/E859,2)</f>
        <v>26.4</v>
      </c>
    </row>
    <row r="860" spans="1:8" s="13" customFormat="1" ht="15.95" customHeight="1">
      <c r="A860" s="27">
        <v>684</v>
      </c>
      <c r="B860" s="41" t="s">
        <v>649</v>
      </c>
      <c r="C860" s="63" t="s">
        <v>16</v>
      </c>
      <c r="D860" s="64">
        <v>4038.8</v>
      </c>
      <c r="E860" s="27">
        <v>79</v>
      </c>
      <c r="F860" s="18">
        <f t="shared" si="183"/>
        <v>12.78</v>
      </c>
      <c r="G860" s="62">
        <f t="shared" si="190"/>
        <v>5.59</v>
      </c>
      <c r="H860" s="45">
        <f t="shared" si="186"/>
        <v>12.78</v>
      </c>
    </row>
    <row r="861" spans="1:8" s="13" customFormat="1" ht="15.95" customHeight="1">
      <c r="A861" s="27">
        <v>685</v>
      </c>
      <c r="B861" s="41" t="s">
        <v>842</v>
      </c>
      <c r="C861" s="63" t="s">
        <v>887</v>
      </c>
      <c r="D861" s="17">
        <v>4851.6000000000004</v>
      </c>
      <c r="E861" s="27">
        <v>115</v>
      </c>
      <c r="F861" s="18">
        <f t="shared" si="183"/>
        <v>10.55</v>
      </c>
      <c r="G861" s="62">
        <f>ROUND(482.49/E861,2)</f>
        <v>4.2</v>
      </c>
      <c r="H861" s="45">
        <f>ROUND(1212.9/E861,2)</f>
        <v>10.55</v>
      </c>
    </row>
    <row r="862" spans="1:8" s="13" customFormat="1" ht="15.95" customHeight="1">
      <c r="A862" s="27">
        <v>686</v>
      </c>
      <c r="B862" s="41" t="s">
        <v>650</v>
      </c>
      <c r="C862" s="63" t="s">
        <v>883</v>
      </c>
      <c r="D862" s="17">
        <v>3590</v>
      </c>
      <c r="E862" s="27">
        <v>21</v>
      </c>
      <c r="F862" s="18">
        <f t="shared" si="183"/>
        <v>42.74</v>
      </c>
      <c r="G862" s="62">
        <f t="shared" ref="G862:G863" si="191">ROUND(441.63/E862,2)</f>
        <v>21.03</v>
      </c>
      <c r="H862" s="45">
        <f>ROUND(897.51/E862,2)</f>
        <v>42.74</v>
      </c>
    </row>
    <row r="863" spans="1:8" s="13" customFormat="1" ht="15.95" customHeight="1">
      <c r="A863" s="27">
        <v>687</v>
      </c>
      <c r="B863" s="41" t="s">
        <v>651</v>
      </c>
      <c r="C863" s="63" t="s">
        <v>884</v>
      </c>
      <c r="D863" s="64">
        <v>2702.6</v>
      </c>
      <c r="E863" s="27">
        <v>8</v>
      </c>
      <c r="F863" s="18">
        <f t="shared" si="183"/>
        <v>84.46</v>
      </c>
      <c r="G863" s="62">
        <f t="shared" si="191"/>
        <v>55.2</v>
      </c>
      <c r="H863" s="45">
        <f>ROUND(675.66/E863,2)</f>
        <v>84.46</v>
      </c>
    </row>
    <row r="864" spans="1:8" s="13" customFormat="1" ht="8.1" customHeight="1">
      <c r="A864" s="101">
        <v>688</v>
      </c>
      <c r="B864" s="114" t="s">
        <v>760</v>
      </c>
      <c r="C864" s="20" t="s">
        <v>49</v>
      </c>
      <c r="D864" s="69">
        <f>3590*2</f>
        <v>7180</v>
      </c>
      <c r="E864" s="90">
        <f>36+32</f>
        <v>68</v>
      </c>
      <c r="F864" s="73">
        <f>ROUND(D864/E864/4,2)</f>
        <v>26.4</v>
      </c>
      <c r="G864" s="113">
        <f>ROUND(441.63*2/E864,2)</f>
        <v>12.99</v>
      </c>
      <c r="H864" s="65">
        <f>ROUND(897.51*2/E864,2)</f>
        <v>26.4</v>
      </c>
    </row>
    <row r="865" spans="1:8" s="13" customFormat="1" ht="8.1" customHeight="1">
      <c r="A865" s="101"/>
      <c r="B865" s="114"/>
      <c r="C865" s="23" t="s">
        <v>49</v>
      </c>
      <c r="D865" s="70" t="e">
        <f>#REF!+#REF!</f>
        <v>#REF!</v>
      </c>
      <c r="E865" s="91"/>
      <c r="F865" s="74" t="e">
        <f t="shared" si="181"/>
        <v>#REF!</v>
      </c>
      <c r="G865" s="113">
        <f t="shared" si="182"/>
        <v>8.0607272727272719</v>
      </c>
      <c r="H865" s="65"/>
    </row>
    <row r="866" spans="1:8" s="13" customFormat="1" ht="15.95" customHeight="1">
      <c r="A866" s="54">
        <v>689</v>
      </c>
      <c r="B866" s="41" t="s">
        <v>652</v>
      </c>
      <c r="C866" s="63" t="s">
        <v>49</v>
      </c>
      <c r="D866" s="17">
        <v>3590</v>
      </c>
      <c r="E866" s="27">
        <v>41</v>
      </c>
      <c r="F866" s="18">
        <f>ROUND(D866/E866/4,2)</f>
        <v>21.89</v>
      </c>
      <c r="G866" s="62">
        <f>ROUND(441.63/E866,2)</f>
        <v>10.77</v>
      </c>
      <c r="H866" s="45">
        <f>ROUND(897.51/E866,2)</f>
        <v>21.89</v>
      </c>
    </row>
    <row r="867" spans="1:8" s="13" customFormat="1" ht="5.45" customHeight="1">
      <c r="A867" s="101">
        <v>690</v>
      </c>
      <c r="B867" s="114" t="s">
        <v>843</v>
      </c>
      <c r="C867" s="20" t="s">
        <v>49</v>
      </c>
      <c r="D867" s="69">
        <f>3590*3</f>
        <v>10770</v>
      </c>
      <c r="E867" s="90">
        <f>35+31+24</f>
        <v>90</v>
      </c>
      <c r="F867" s="73">
        <f>ROUND(D867/E867/4,2)</f>
        <v>29.92</v>
      </c>
      <c r="G867" s="113">
        <f>ROUND((441.63+469.47*2)/E867,2)</f>
        <v>15.34</v>
      </c>
      <c r="H867" s="65">
        <f>ROUND(897.51*3/E867,2)</f>
        <v>29.92</v>
      </c>
    </row>
    <row r="868" spans="1:8" s="13" customFormat="1" ht="5.45" customHeight="1">
      <c r="A868" s="101"/>
      <c r="B868" s="114"/>
      <c r="C868" s="22" t="s">
        <v>653</v>
      </c>
      <c r="D868" s="77" t="e">
        <f>#REF!+#REF!</f>
        <v>#REF!</v>
      </c>
      <c r="E868" s="94"/>
      <c r="F868" s="81" t="e">
        <f t="shared" ref="F868:F869" si="192">D868/E868/4</f>
        <v>#REF!</v>
      </c>
      <c r="G868" s="113">
        <f t="shared" ref="G868:G869" si="193">443.34*1/55</f>
        <v>8.0607272727272719</v>
      </c>
      <c r="H868" s="65"/>
    </row>
    <row r="869" spans="1:8" s="13" customFormat="1" ht="5.45" customHeight="1">
      <c r="A869" s="101"/>
      <c r="B869" s="114"/>
      <c r="C869" s="23" t="s">
        <v>654</v>
      </c>
      <c r="D869" s="70" t="e">
        <f>#REF!+#REF!</f>
        <v>#REF!</v>
      </c>
      <c r="E869" s="91"/>
      <c r="F869" s="74" t="e">
        <f t="shared" si="192"/>
        <v>#REF!</v>
      </c>
      <c r="G869" s="113">
        <f t="shared" si="193"/>
        <v>8.0607272727272719</v>
      </c>
      <c r="H869" s="65"/>
    </row>
    <row r="870" spans="1:8" s="13" customFormat="1" ht="4.5" customHeight="1">
      <c r="A870" s="101">
        <v>691</v>
      </c>
      <c r="B870" s="114" t="s">
        <v>761</v>
      </c>
      <c r="C870" s="20" t="s">
        <v>655</v>
      </c>
      <c r="D870" s="69">
        <f>3590*3</f>
        <v>10770</v>
      </c>
      <c r="E870" s="90">
        <f>34+30+37</f>
        <v>101</v>
      </c>
      <c r="F870" s="73">
        <f>ROUND(D870/E870/4,2)</f>
        <v>26.66</v>
      </c>
      <c r="G870" s="113">
        <f>ROUND(469.47*3/E870,2)</f>
        <v>13.94</v>
      </c>
      <c r="H870" s="65">
        <f>ROUND(897.51*3/E870,2)</f>
        <v>26.66</v>
      </c>
    </row>
    <row r="871" spans="1:8" s="13" customFormat="1" ht="4.5" customHeight="1">
      <c r="A871" s="101"/>
      <c r="B871" s="114"/>
      <c r="C871" s="22" t="s">
        <v>654</v>
      </c>
      <c r="D871" s="77" t="e">
        <f>#REF!+#REF!</f>
        <v>#REF!</v>
      </c>
      <c r="E871" s="94"/>
      <c r="F871" s="81" t="e">
        <f t="shared" ref="F871:F872" si="194">D871/E871/4</f>
        <v>#REF!</v>
      </c>
      <c r="G871" s="113">
        <f t="shared" ref="G871:G872" si="195">443.34*1/55</f>
        <v>8.0607272727272719</v>
      </c>
      <c r="H871" s="65"/>
    </row>
    <row r="872" spans="1:8" s="13" customFormat="1" ht="4.5" customHeight="1">
      <c r="A872" s="101"/>
      <c r="B872" s="114"/>
      <c r="C872" s="23" t="s">
        <v>655</v>
      </c>
      <c r="D872" s="70" t="e">
        <f>#REF!+#REF!</f>
        <v>#REF!</v>
      </c>
      <c r="E872" s="91"/>
      <c r="F872" s="74" t="e">
        <f t="shared" si="194"/>
        <v>#REF!</v>
      </c>
      <c r="G872" s="113">
        <f t="shared" si="195"/>
        <v>8.0607272727272719</v>
      </c>
      <c r="H872" s="65"/>
    </row>
    <row r="873" spans="1:8" s="13" customFormat="1" ht="5.45" customHeight="1">
      <c r="A873" s="101">
        <v>692</v>
      </c>
      <c r="B873" s="114" t="s">
        <v>762</v>
      </c>
      <c r="C873" s="20" t="s">
        <v>520</v>
      </c>
      <c r="D873" s="69">
        <f>3590*3</f>
        <v>10770</v>
      </c>
      <c r="E873" s="90">
        <f>21+20+27</f>
        <v>68</v>
      </c>
      <c r="F873" s="73">
        <f>ROUND(D873/E873/4,2)</f>
        <v>39.6</v>
      </c>
      <c r="G873" s="113">
        <f>ROUND((441.63+469.47*2)/E873,2)</f>
        <v>20.3</v>
      </c>
      <c r="H873" s="65">
        <f>ROUND(897.51*3/E873,2)</f>
        <v>39.6</v>
      </c>
    </row>
    <row r="874" spans="1:8" s="13" customFormat="1" ht="5.45" customHeight="1">
      <c r="A874" s="101"/>
      <c r="B874" s="114"/>
      <c r="C874" s="22" t="s">
        <v>655</v>
      </c>
      <c r="D874" s="77" t="e">
        <f>#REF!+#REF!</f>
        <v>#REF!</v>
      </c>
      <c r="E874" s="94"/>
      <c r="F874" s="81" t="e">
        <f t="shared" ref="F874:F875" si="196">D874/E874/4</f>
        <v>#REF!</v>
      </c>
      <c r="G874" s="113">
        <f t="shared" ref="G874:G875" si="197">443.34*1/55</f>
        <v>8.0607272727272719</v>
      </c>
      <c r="H874" s="65"/>
    </row>
    <row r="875" spans="1:8" s="13" customFormat="1" ht="5.45" customHeight="1">
      <c r="A875" s="101"/>
      <c r="B875" s="114"/>
      <c r="C875" s="23" t="s">
        <v>49</v>
      </c>
      <c r="D875" s="70" t="e">
        <f>#REF!+#REF!</f>
        <v>#REF!</v>
      </c>
      <c r="E875" s="91"/>
      <c r="F875" s="74" t="e">
        <f t="shared" si="196"/>
        <v>#REF!</v>
      </c>
      <c r="G875" s="113">
        <f t="shared" si="197"/>
        <v>8.0607272727272719</v>
      </c>
      <c r="H875" s="65"/>
    </row>
    <row r="876" spans="1:8" s="13" customFormat="1" ht="8.1" customHeight="1">
      <c r="A876" s="101">
        <v>693</v>
      </c>
      <c r="B876" s="114" t="s">
        <v>763</v>
      </c>
      <c r="C876" s="20" t="s">
        <v>656</v>
      </c>
      <c r="D876" s="69">
        <f>3590*2</f>
        <v>7180</v>
      </c>
      <c r="E876" s="90">
        <f>33+36</f>
        <v>69</v>
      </c>
      <c r="F876" s="73">
        <f>ROUND(D876/E876/4,2)</f>
        <v>26.01</v>
      </c>
      <c r="G876" s="113">
        <f>ROUND(469.47*2/E876,2)</f>
        <v>13.61</v>
      </c>
      <c r="H876" s="65">
        <f>ROUND(897.51*2/E876,2)</f>
        <v>26.01</v>
      </c>
    </row>
    <row r="877" spans="1:8" s="13" customFormat="1" ht="8.1" customHeight="1">
      <c r="A877" s="101"/>
      <c r="B877" s="114"/>
      <c r="C877" s="23" t="s">
        <v>655</v>
      </c>
      <c r="D877" s="70" t="e">
        <f>#REF!+#REF!</f>
        <v>#REF!</v>
      </c>
      <c r="E877" s="91"/>
      <c r="F877" s="74" t="e">
        <f t="shared" si="181"/>
        <v>#REF!</v>
      </c>
      <c r="G877" s="113">
        <f t="shared" si="182"/>
        <v>8.0607272727272719</v>
      </c>
      <c r="H877" s="65"/>
    </row>
    <row r="878" spans="1:8" s="13" customFormat="1" ht="15.95" customHeight="1">
      <c r="A878" s="27">
        <v>694</v>
      </c>
      <c r="B878" s="41" t="s">
        <v>657</v>
      </c>
      <c r="C878" s="63" t="s">
        <v>16</v>
      </c>
      <c r="D878" s="64">
        <v>4038.8</v>
      </c>
      <c r="E878" s="27">
        <v>69</v>
      </c>
      <c r="F878" s="18">
        <f t="shared" ref="F878" si="198">ROUND(D878/E878/4,2)</f>
        <v>14.63</v>
      </c>
      <c r="G878" s="62">
        <f>ROUND(441.63/E878,2)</f>
        <v>6.4</v>
      </c>
      <c r="H878" s="45">
        <f t="shared" si="186"/>
        <v>14.63</v>
      </c>
    </row>
    <row r="879" spans="1:8" outlineLevel="1">
      <c r="A879" s="10"/>
      <c r="B879" s="10"/>
      <c r="C879" s="10"/>
      <c r="D879" s="10"/>
      <c r="E879" s="10"/>
      <c r="F879" s="10"/>
    </row>
    <row r="880" spans="1:8" outlineLevel="1">
      <c r="A880" s="10"/>
      <c r="B880" s="11" t="s">
        <v>717</v>
      </c>
      <c r="C880" s="11"/>
      <c r="D880" s="11"/>
      <c r="E880" s="11"/>
      <c r="F880" s="12" t="s">
        <v>718</v>
      </c>
    </row>
    <row r="881" spans="1:6" outlineLevel="1">
      <c r="A881" s="10"/>
      <c r="B881" s="11"/>
      <c r="C881" s="11"/>
      <c r="D881" s="11"/>
      <c r="E881" s="11"/>
      <c r="F881" s="12"/>
    </row>
    <row r="882" spans="1:6">
      <c r="B882" s="1" t="s">
        <v>719</v>
      </c>
      <c r="F882" s="4" t="s">
        <v>721</v>
      </c>
    </row>
    <row r="883" spans="1:6">
      <c r="B883" s="1" t="s">
        <v>720</v>
      </c>
    </row>
  </sheetData>
  <autoFilter ref="A7:H878"/>
  <mergeCells count="607">
    <mergeCell ref="A5:F5"/>
    <mergeCell ref="A1:F1"/>
    <mergeCell ref="B2:F2"/>
    <mergeCell ref="B3:F3"/>
    <mergeCell ref="D557:D558"/>
    <mergeCell ref="E557:E558"/>
    <mergeCell ref="F557:F558"/>
    <mergeCell ref="A867:A869"/>
    <mergeCell ref="A870:A872"/>
    <mergeCell ref="E563:E567"/>
    <mergeCell ref="F563:F567"/>
    <mergeCell ref="G563:G567"/>
    <mergeCell ref="A578:A579"/>
    <mergeCell ref="D578:D579"/>
    <mergeCell ref="F578:F579"/>
    <mergeCell ref="G578:G579"/>
    <mergeCell ref="E578:E579"/>
    <mergeCell ref="B563:B567"/>
    <mergeCell ref="A563:A567"/>
    <mergeCell ref="A864:A865"/>
    <mergeCell ref="D563:D567"/>
    <mergeCell ref="A602:A603"/>
    <mergeCell ref="A623:A624"/>
    <mergeCell ref="A631:A634"/>
    <mergeCell ref="A656:A657"/>
    <mergeCell ref="A680:A681"/>
    <mergeCell ref="A701:A702"/>
    <mergeCell ref="D571:D576"/>
    <mergeCell ref="B571:B576"/>
    <mergeCell ref="A571:A576"/>
    <mergeCell ref="B578:B579"/>
    <mergeCell ref="A707:A708"/>
    <mergeCell ref="A723:A724"/>
    <mergeCell ref="A727:A728"/>
    <mergeCell ref="A732:A733"/>
    <mergeCell ref="A744:A747"/>
    <mergeCell ref="A787:A788"/>
    <mergeCell ref="A790:A794"/>
    <mergeCell ref="A821:A823"/>
    <mergeCell ref="A837:A840"/>
    <mergeCell ref="B876:B877"/>
    <mergeCell ref="H876:H877"/>
    <mergeCell ref="D876:D877"/>
    <mergeCell ref="E876:E877"/>
    <mergeCell ref="F876:F877"/>
    <mergeCell ref="G876:G877"/>
    <mergeCell ref="B873:B875"/>
    <mergeCell ref="A873:A875"/>
    <mergeCell ref="A876:A877"/>
    <mergeCell ref="H873:H875"/>
    <mergeCell ref="D867:D869"/>
    <mergeCell ref="E867:E869"/>
    <mergeCell ref="F867:F869"/>
    <mergeCell ref="G867:G869"/>
    <mergeCell ref="B870:B872"/>
    <mergeCell ref="H870:H872"/>
    <mergeCell ref="D870:D872"/>
    <mergeCell ref="E870:E872"/>
    <mergeCell ref="F870:F872"/>
    <mergeCell ref="G870:G872"/>
    <mergeCell ref="B867:B869"/>
    <mergeCell ref="D873:D875"/>
    <mergeCell ref="E873:E875"/>
    <mergeCell ref="F873:F875"/>
    <mergeCell ref="G873:G875"/>
    <mergeCell ref="D837:D840"/>
    <mergeCell ref="E837:E840"/>
    <mergeCell ref="F837:F840"/>
    <mergeCell ref="G837:G840"/>
    <mergeCell ref="B864:B865"/>
    <mergeCell ref="H864:H865"/>
    <mergeCell ref="D864:D865"/>
    <mergeCell ref="E864:E865"/>
    <mergeCell ref="F864:F865"/>
    <mergeCell ref="G864:G865"/>
    <mergeCell ref="B837:B840"/>
    <mergeCell ref="H837:H840"/>
    <mergeCell ref="D790:D794"/>
    <mergeCell ref="E790:E794"/>
    <mergeCell ref="F790:F794"/>
    <mergeCell ref="G790:G794"/>
    <mergeCell ref="B821:B823"/>
    <mergeCell ref="H821:H823"/>
    <mergeCell ref="D821:D823"/>
    <mergeCell ref="E821:E823"/>
    <mergeCell ref="F821:F823"/>
    <mergeCell ref="G821:G823"/>
    <mergeCell ref="B790:B794"/>
    <mergeCell ref="H790:H794"/>
    <mergeCell ref="D744:D747"/>
    <mergeCell ref="E744:E747"/>
    <mergeCell ref="F744:F747"/>
    <mergeCell ref="G744:G747"/>
    <mergeCell ref="B787:B788"/>
    <mergeCell ref="H787:H788"/>
    <mergeCell ref="D787:D788"/>
    <mergeCell ref="E787:E788"/>
    <mergeCell ref="F787:F788"/>
    <mergeCell ref="G787:G788"/>
    <mergeCell ref="B744:B747"/>
    <mergeCell ref="H744:H747"/>
    <mergeCell ref="D727:D728"/>
    <mergeCell ref="E727:E728"/>
    <mergeCell ref="F727:F728"/>
    <mergeCell ref="G727:G728"/>
    <mergeCell ref="B732:B733"/>
    <mergeCell ref="H732:H733"/>
    <mergeCell ref="D732:D733"/>
    <mergeCell ref="E732:E733"/>
    <mergeCell ref="F732:F733"/>
    <mergeCell ref="G732:G733"/>
    <mergeCell ref="B727:B728"/>
    <mergeCell ref="H727:H728"/>
    <mergeCell ref="D707:D708"/>
    <mergeCell ref="E707:E708"/>
    <mergeCell ref="F707:F708"/>
    <mergeCell ref="G707:G708"/>
    <mergeCell ref="B723:B724"/>
    <mergeCell ref="H723:H724"/>
    <mergeCell ref="D723:D724"/>
    <mergeCell ref="E723:E724"/>
    <mergeCell ref="F723:F724"/>
    <mergeCell ref="G723:G724"/>
    <mergeCell ref="B707:B708"/>
    <mergeCell ref="H707:H708"/>
    <mergeCell ref="D680:D681"/>
    <mergeCell ref="E680:E681"/>
    <mergeCell ref="F680:F681"/>
    <mergeCell ref="G680:G681"/>
    <mergeCell ref="B701:B702"/>
    <mergeCell ref="H701:H702"/>
    <mergeCell ref="D701:D702"/>
    <mergeCell ref="E701:E702"/>
    <mergeCell ref="F701:F702"/>
    <mergeCell ref="G701:G702"/>
    <mergeCell ref="B680:B681"/>
    <mergeCell ref="H680:H681"/>
    <mergeCell ref="D631:D634"/>
    <mergeCell ref="E631:E634"/>
    <mergeCell ref="F631:F634"/>
    <mergeCell ref="G631:G634"/>
    <mergeCell ref="B656:B657"/>
    <mergeCell ref="H656:H657"/>
    <mergeCell ref="D656:D657"/>
    <mergeCell ref="E656:E657"/>
    <mergeCell ref="F656:F657"/>
    <mergeCell ref="G656:G657"/>
    <mergeCell ref="B631:B634"/>
    <mergeCell ref="H631:H634"/>
    <mergeCell ref="H508:H510"/>
    <mergeCell ref="D602:D603"/>
    <mergeCell ref="E602:E603"/>
    <mergeCell ref="F602:F603"/>
    <mergeCell ref="G602:G603"/>
    <mergeCell ref="B623:B624"/>
    <mergeCell ref="H623:H624"/>
    <mergeCell ref="D623:D624"/>
    <mergeCell ref="E623:E624"/>
    <mergeCell ref="F623:F624"/>
    <mergeCell ref="G623:G624"/>
    <mergeCell ref="B602:B603"/>
    <mergeCell ref="H602:H603"/>
    <mergeCell ref="G518:G523"/>
    <mergeCell ref="H514:H517"/>
    <mergeCell ref="D514:D517"/>
    <mergeCell ref="E514:E517"/>
    <mergeCell ref="E571:E576"/>
    <mergeCell ref="F571:F576"/>
    <mergeCell ref="G571:G576"/>
    <mergeCell ref="G557:G558"/>
    <mergeCell ref="D527:D528"/>
    <mergeCell ref="E527:E528"/>
    <mergeCell ref="F527:F528"/>
    <mergeCell ref="A589:A591"/>
    <mergeCell ref="B589:B591"/>
    <mergeCell ref="D589:D591"/>
    <mergeCell ref="E589:E591"/>
    <mergeCell ref="F589:F591"/>
    <mergeCell ref="G589:G591"/>
    <mergeCell ref="A514:A517"/>
    <mergeCell ref="B514:B517"/>
    <mergeCell ref="F514:F517"/>
    <mergeCell ref="G514:G517"/>
    <mergeCell ref="B518:B523"/>
    <mergeCell ref="A518:A523"/>
    <mergeCell ref="G527:G528"/>
    <mergeCell ref="B557:B558"/>
    <mergeCell ref="D518:D523"/>
    <mergeCell ref="E518:E523"/>
    <mergeCell ref="F518:F523"/>
    <mergeCell ref="A557:A558"/>
    <mergeCell ref="B555:B556"/>
    <mergeCell ref="A555:A556"/>
    <mergeCell ref="A527:A528"/>
    <mergeCell ref="B527:B528"/>
    <mergeCell ref="D508:D510"/>
    <mergeCell ref="E477:E482"/>
    <mergeCell ref="F477:F482"/>
    <mergeCell ref="G477:G482"/>
    <mergeCell ref="B494:B495"/>
    <mergeCell ref="D494:D495"/>
    <mergeCell ref="E494:E495"/>
    <mergeCell ref="F494:F495"/>
    <mergeCell ref="G494:G495"/>
    <mergeCell ref="D477:D482"/>
    <mergeCell ref="E508:E510"/>
    <mergeCell ref="F508:F510"/>
    <mergeCell ref="G508:G510"/>
    <mergeCell ref="E467:E469"/>
    <mergeCell ref="F467:F469"/>
    <mergeCell ref="G467:G469"/>
    <mergeCell ref="B472:B474"/>
    <mergeCell ref="D472:D474"/>
    <mergeCell ref="E472:E474"/>
    <mergeCell ref="F472:F474"/>
    <mergeCell ref="G472:G474"/>
    <mergeCell ref="D467:D469"/>
    <mergeCell ref="E455:E456"/>
    <mergeCell ref="F455:F456"/>
    <mergeCell ref="G455:G456"/>
    <mergeCell ref="B464:B465"/>
    <mergeCell ref="D464:D465"/>
    <mergeCell ref="E464:E465"/>
    <mergeCell ref="F464:F465"/>
    <mergeCell ref="G464:G465"/>
    <mergeCell ref="D455:D456"/>
    <mergeCell ref="E437:E438"/>
    <mergeCell ref="F437:F438"/>
    <mergeCell ref="G437:G438"/>
    <mergeCell ref="B442:B448"/>
    <mergeCell ref="D442:D448"/>
    <mergeCell ref="E442:E448"/>
    <mergeCell ref="F442:F448"/>
    <mergeCell ref="G442:G448"/>
    <mergeCell ref="D437:D438"/>
    <mergeCell ref="E413:E414"/>
    <mergeCell ref="F413:F414"/>
    <mergeCell ref="G413:G414"/>
    <mergeCell ref="B417:B418"/>
    <mergeCell ref="D417:D418"/>
    <mergeCell ref="E417:E418"/>
    <mergeCell ref="F417:F418"/>
    <mergeCell ref="G417:G418"/>
    <mergeCell ref="D413:D414"/>
    <mergeCell ref="A455:A456"/>
    <mergeCell ref="B455:B456"/>
    <mergeCell ref="B356:B357"/>
    <mergeCell ref="D356:D357"/>
    <mergeCell ref="E356:E357"/>
    <mergeCell ref="F356:F357"/>
    <mergeCell ref="G356:G357"/>
    <mergeCell ref="B361:B362"/>
    <mergeCell ref="D361:D362"/>
    <mergeCell ref="E361:E362"/>
    <mergeCell ref="F361:F362"/>
    <mergeCell ref="G361:G362"/>
    <mergeCell ref="D358:D359"/>
    <mergeCell ref="D372:D375"/>
    <mergeCell ref="E372:E375"/>
    <mergeCell ref="F372:F375"/>
    <mergeCell ref="G372:G375"/>
    <mergeCell ref="D363:D364"/>
    <mergeCell ref="G388:G389"/>
    <mergeCell ref="B395:B396"/>
    <mergeCell ref="D395:D396"/>
    <mergeCell ref="E395:E396"/>
    <mergeCell ref="F395:F396"/>
    <mergeCell ref="G395:G396"/>
    <mergeCell ref="A508:A510"/>
    <mergeCell ref="B508:B510"/>
    <mergeCell ref="A494:A495"/>
    <mergeCell ref="A477:A482"/>
    <mergeCell ref="B477:B482"/>
    <mergeCell ref="A472:A474"/>
    <mergeCell ref="A467:A469"/>
    <mergeCell ref="B467:B469"/>
    <mergeCell ref="A464:A465"/>
    <mergeCell ref="A442:A448"/>
    <mergeCell ref="A437:A438"/>
    <mergeCell ref="B437:B438"/>
    <mergeCell ref="A417:A418"/>
    <mergeCell ref="A413:A414"/>
    <mergeCell ref="B413:B414"/>
    <mergeCell ref="A395:A396"/>
    <mergeCell ref="A388:A389"/>
    <mergeCell ref="B388:B389"/>
    <mergeCell ref="G224:G229"/>
    <mergeCell ref="A224:A229"/>
    <mergeCell ref="G207:G215"/>
    <mergeCell ref="G272:G282"/>
    <mergeCell ref="A351:A352"/>
    <mergeCell ref="B351:B352"/>
    <mergeCell ref="A216:A221"/>
    <mergeCell ref="E216:E221"/>
    <mergeCell ref="F216:F221"/>
    <mergeCell ref="G216:G221"/>
    <mergeCell ref="D216:D221"/>
    <mergeCell ref="B216:B221"/>
    <mergeCell ref="D224:D229"/>
    <mergeCell ref="E224:E229"/>
    <mergeCell ref="F224:F229"/>
    <mergeCell ref="B224:B229"/>
    <mergeCell ref="A207:A215"/>
    <mergeCell ref="B207:B215"/>
    <mergeCell ref="E207:E215"/>
    <mergeCell ref="F207:F215"/>
    <mergeCell ref="D207:D215"/>
    <mergeCell ref="A361:A362"/>
    <mergeCell ref="A358:A359"/>
    <mergeCell ref="B358:B359"/>
    <mergeCell ref="A356:A357"/>
    <mergeCell ref="F184:F185"/>
    <mergeCell ref="G184:G185"/>
    <mergeCell ref="A191:A193"/>
    <mergeCell ref="B191:B193"/>
    <mergeCell ref="D191:D193"/>
    <mergeCell ref="D184:D185"/>
    <mergeCell ref="E184:E185"/>
    <mergeCell ref="E191:E193"/>
    <mergeCell ref="F191:F193"/>
    <mergeCell ref="G191:G193"/>
    <mergeCell ref="A182:A183"/>
    <mergeCell ref="B182:B183"/>
    <mergeCell ref="D178:D179"/>
    <mergeCell ref="E182:E183"/>
    <mergeCell ref="F182:F183"/>
    <mergeCell ref="G182:G183"/>
    <mergeCell ref="E178:E179"/>
    <mergeCell ref="F178:F179"/>
    <mergeCell ref="G178:G179"/>
    <mergeCell ref="D182:D183"/>
    <mergeCell ref="A178:A179"/>
    <mergeCell ref="B178:B179"/>
    <mergeCell ref="A166:A169"/>
    <mergeCell ref="B166:B169"/>
    <mergeCell ref="H166:H169"/>
    <mergeCell ref="D166:D169"/>
    <mergeCell ref="F166:F169"/>
    <mergeCell ref="D129:D130"/>
    <mergeCell ref="E129:E130"/>
    <mergeCell ref="H129:H130"/>
    <mergeCell ref="E166:E169"/>
    <mergeCell ref="G166:G169"/>
    <mergeCell ref="A129:A130"/>
    <mergeCell ref="B129:B130"/>
    <mergeCell ref="F129:F130"/>
    <mergeCell ref="G123:G124"/>
    <mergeCell ref="E106:E108"/>
    <mergeCell ref="F106:F108"/>
    <mergeCell ref="G106:G108"/>
    <mergeCell ref="A123:A124"/>
    <mergeCell ref="B123:B124"/>
    <mergeCell ref="D123:D124"/>
    <mergeCell ref="A106:A108"/>
    <mergeCell ref="B106:B108"/>
    <mergeCell ref="G129:G130"/>
    <mergeCell ref="D106:D108"/>
    <mergeCell ref="A101:A104"/>
    <mergeCell ref="B101:B104"/>
    <mergeCell ref="A85:A86"/>
    <mergeCell ref="B85:B86"/>
    <mergeCell ref="A79:A80"/>
    <mergeCell ref="D63:D64"/>
    <mergeCell ref="B79:B80"/>
    <mergeCell ref="F123:F124"/>
    <mergeCell ref="E123:E124"/>
    <mergeCell ref="A74:A75"/>
    <mergeCell ref="B74:B75"/>
    <mergeCell ref="A63:A64"/>
    <mergeCell ref="B63:B64"/>
    <mergeCell ref="F74:F75"/>
    <mergeCell ref="G74:G75"/>
    <mergeCell ref="D74:D75"/>
    <mergeCell ref="A57:A58"/>
    <mergeCell ref="D57:D58"/>
    <mergeCell ref="B25:B27"/>
    <mergeCell ref="A19:A24"/>
    <mergeCell ref="B19:B24"/>
    <mergeCell ref="E52:E53"/>
    <mergeCell ref="B52:B53"/>
    <mergeCell ref="A38:A40"/>
    <mergeCell ref="B38:B40"/>
    <mergeCell ref="D38:D40"/>
    <mergeCell ref="G52:G53"/>
    <mergeCell ref="A52:A53"/>
    <mergeCell ref="D52:D53"/>
    <mergeCell ref="G17:G18"/>
    <mergeCell ref="E14:E16"/>
    <mergeCell ref="F14:F16"/>
    <mergeCell ref="G14:G16"/>
    <mergeCell ref="E30:E32"/>
    <mergeCell ref="F30:F32"/>
    <mergeCell ref="G30:G32"/>
    <mergeCell ref="G10:G11"/>
    <mergeCell ref="A14:A16"/>
    <mergeCell ref="B14:B16"/>
    <mergeCell ref="D14:D16"/>
    <mergeCell ref="A10:A11"/>
    <mergeCell ref="B10:B11"/>
    <mergeCell ref="G19:G24"/>
    <mergeCell ref="A30:A32"/>
    <mergeCell ref="B30:B32"/>
    <mergeCell ref="D30:D32"/>
    <mergeCell ref="D19:D24"/>
    <mergeCell ref="E19:E24"/>
    <mergeCell ref="D25:D27"/>
    <mergeCell ref="E25:E27"/>
    <mergeCell ref="F25:F27"/>
    <mergeCell ref="G25:G27"/>
    <mergeCell ref="A25:A27"/>
    <mergeCell ref="E101:E104"/>
    <mergeCell ref="F101:F104"/>
    <mergeCell ref="G101:G104"/>
    <mergeCell ref="E85:E86"/>
    <mergeCell ref="F85:F86"/>
    <mergeCell ref="G85:G86"/>
    <mergeCell ref="D101:D104"/>
    <mergeCell ref="D85:D86"/>
    <mergeCell ref="G79:G80"/>
    <mergeCell ref="D79:D80"/>
    <mergeCell ref="E79:E80"/>
    <mergeCell ref="F79:F80"/>
    <mergeCell ref="G77:G78"/>
    <mergeCell ref="E57:E58"/>
    <mergeCell ref="F57:F58"/>
    <mergeCell ref="E34:E36"/>
    <mergeCell ref="F34:F36"/>
    <mergeCell ref="G34:G36"/>
    <mergeCell ref="F63:F64"/>
    <mergeCell ref="G63:G64"/>
    <mergeCell ref="G57:G58"/>
    <mergeCell ref="E38:E40"/>
    <mergeCell ref="F38:F40"/>
    <mergeCell ref="G38:G40"/>
    <mergeCell ref="E74:E75"/>
    <mergeCell ref="A184:A185"/>
    <mergeCell ref="B184:B185"/>
    <mergeCell ref="D6:F6"/>
    <mergeCell ref="A34:A36"/>
    <mergeCell ref="B34:B36"/>
    <mergeCell ref="H34:H36"/>
    <mergeCell ref="D34:D36"/>
    <mergeCell ref="D10:D11"/>
    <mergeCell ref="E10:E11"/>
    <mergeCell ref="F10:F11"/>
    <mergeCell ref="E17:E18"/>
    <mergeCell ref="F17:F18"/>
    <mergeCell ref="B57:B58"/>
    <mergeCell ref="A77:A78"/>
    <mergeCell ref="B77:B78"/>
    <mergeCell ref="F52:F53"/>
    <mergeCell ref="A17:A18"/>
    <mergeCell ref="B17:B18"/>
    <mergeCell ref="D17:D18"/>
    <mergeCell ref="F19:F24"/>
    <mergeCell ref="E63:E64"/>
    <mergeCell ref="D77:D78"/>
    <mergeCell ref="F77:F78"/>
    <mergeCell ref="E77:E78"/>
    <mergeCell ref="D238:D240"/>
    <mergeCell ref="D250:D251"/>
    <mergeCell ref="E250:E251"/>
    <mergeCell ref="F250:F251"/>
    <mergeCell ref="G250:G251"/>
    <mergeCell ref="A255:A256"/>
    <mergeCell ref="B255:B256"/>
    <mergeCell ref="D255:D256"/>
    <mergeCell ref="E255:E256"/>
    <mergeCell ref="F255:F256"/>
    <mergeCell ref="G255:G256"/>
    <mergeCell ref="E238:E240"/>
    <mergeCell ref="F238:F240"/>
    <mergeCell ref="G238:G240"/>
    <mergeCell ref="A243:A244"/>
    <mergeCell ref="B243:B244"/>
    <mergeCell ref="D243:D244"/>
    <mergeCell ref="E243:E244"/>
    <mergeCell ref="F243:F244"/>
    <mergeCell ref="G243:G244"/>
    <mergeCell ref="A238:A240"/>
    <mergeCell ref="B238:B240"/>
    <mergeCell ref="D258:D260"/>
    <mergeCell ref="H258:H260"/>
    <mergeCell ref="D272:D282"/>
    <mergeCell ref="A250:A251"/>
    <mergeCell ref="E258:E260"/>
    <mergeCell ref="F258:F260"/>
    <mergeCell ref="G258:G260"/>
    <mergeCell ref="B258:B260"/>
    <mergeCell ref="A266:A269"/>
    <mergeCell ref="B266:B269"/>
    <mergeCell ref="H266:H269"/>
    <mergeCell ref="D266:D269"/>
    <mergeCell ref="E266:E269"/>
    <mergeCell ref="F266:F269"/>
    <mergeCell ref="G266:G269"/>
    <mergeCell ref="A258:A260"/>
    <mergeCell ref="B250:B251"/>
    <mergeCell ref="A295:A298"/>
    <mergeCell ref="A289:A294"/>
    <mergeCell ref="B289:B294"/>
    <mergeCell ref="B295:B298"/>
    <mergeCell ref="E272:E282"/>
    <mergeCell ref="F272:F282"/>
    <mergeCell ref="A285:A287"/>
    <mergeCell ref="B285:B287"/>
    <mergeCell ref="D285:D287"/>
    <mergeCell ref="E285:E287"/>
    <mergeCell ref="F285:F287"/>
    <mergeCell ref="A272:A282"/>
    <mergeCell ref="B272:B282"/>
    <mergeCell ref="F358:F359"/>
    <mergeCell ref="G358:G359"/>
    <mergeCell ref="E363:E364"/>
    <mergeCell ref="F363:F364"/>
    <mergeCell ref="G363:G364"/>
    <mergeCell ref="E388:E389"/>
    <mergeCell ref="F388:F389"/>
    <mergeCell ref="A302:A303"/>
    <mergeCell ref="B302:B303"/>
    <mergeCell ref="D302:D303"/>
    <mergeCell ref="E302:E303"/>
    <mergeCell ref="F302:F303"/>
    <mergeCell ref="G302:G303"/>
    <mergeCell ref="A372:A375"/>
    <mergeCell ref="A363:A364"/>
    <mergeCell ref="B363:B364"/>
    <mergeCell ref="B372:B375"/>
    <mergeCell ref="D388:D389"/>
    <mergeCell ref="H63:H64"/>
    <mergeCell ref="H74:H75"/>
    <mergeCell ref="H79:H80"/>
    <mergeCell ref="H77:H78"/>
    <mergeCell ref="H85:H86"/>
    <mergeCell ref="H101:H104"/>
    <mergeCell ref="D555:D556"/>
    <mergeCell ref="E555:E556"/>
    <mergeCell ref="F555:F556"/>
    <mergeCell ref="G555:G556"/>
    <mergeCell ref="G285:G287"/>
    <mergeCell ref="D289:D294"/>
    <mergeCell ref="E289:E294"/>
    <mergeCell ref="F289:F294"/>
    <mergeCell ref="G289:G294"/>
    <mergeCell ref="D295:D298"/>
    <mergeCell ref="E295:E298"/>
    <mergeCell ref="F295:F298"/>
    <mergeCell ref="G295:G298"/>
    <mergeCell ref="D351:D352"/>
    <mergeCell ref="E351:E352"/>
    <mergeCell ref="F351:F352"/>
    <mergeCell ref="G351:G352"/>
    <mergeCell ref="E358:E359"/>
    <mergeCell ref="H10:H11"/>
    <mergeCell ref="H14:H16"/>
    <mergeCell ref="H17:H18"/>
    <mergeCell ref="H20:H24"/>
    <mergeCell ref="H25:H27"/>
    <mergeCell ref="H30:H32"/>
    <mergeCell ref="H38:H40"/>
    <mergeCell ref="H52:H53"/>
    <mergeCell ref="H57:H58"/>
    <mergeCell ref="H472:H474"/>
    <mergeCell ref="H467:H469"/>
    <mergeCell ref="H464:H465"/>
    <mergeCell ref="H455:H456"/>
    <mergeCell ref="H106:H108"/>
    <mergeCell ref="H123:H124"/>
    <mergeCell ref="H178:H179"/>
    <mergeCell ref="H182:H183"/>
    <mergeCell ref="H184:H185"/>
    <mergeCell ref="H191:H193"/>
    <mergeCell ref="H208:H215"/>
    <mergeCell ref="H216:H221"/>
    <mergeCell ref="H224:H229"/>
    <mergeCell ref="H250:H251"/>
    <mergeCell ref="H255:H256"/>
    <mergeCell ref="H272:H282"/>
    <mergeCell ref="H285:H287"/>
    <mergeCell ref="H243:H244"/>
    <mergeCell ref="H238:H240"/>
    <mergeCell ref="H372:H375"/>
    <mergeCell ref="H363:H364"/>
    <mergeCell ref="H589:H591"/>
    <mergeCell ref="H867:H869"/>
    <mergeCell ref="H289:H294"/>
    <mergeCell ref="H295:H298"/>
    <mergeCell ref="H302:H303"/>
    <mergeCell ref="H351:H352"/>
    <mergeCell ref="H388:H389"/>
    <mergeCell ref="H395:H396"/>
    <mergeCell ref="H356:H357"/>
    <mergeCell ref="H358:H359"/>
    <mergeCell ref="H361:H362"/>
    <mergeCell ref="H413:H414"/>
    <mergeCell ref="H417:H418"/>
    <mergeCell ref="H437:H438"/>
    <mergeCell ref="H442:H448"/>
    <mergeCell ref="H571:H576"/>
    <mergeCell ref="H578:H579"/>
    <mergeCell ref="H563:H567"/>
    <mergeCell ref="H557:H558"/>
    <mergeCell ref="H555:H556"/>
    <mergeCell ref="H527:H528"/>
    <mergeCell ref="H518:H523"/>
    <mergeCell ref="H494:H495"/>
    <mergeCell ref="H477:H482"/>
  </mergeCells>
  <printOptions horizontalCentered="1"/>
  <pageMargins left="0" right="0" top="0" bottom="0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2019-07-03T05:33:33Z</dcterms:modified>
</cp:coreProperties>
</file>