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ЦяКнига"/>
  <mc:AlternateContent xmlns:mc="http://schemas.openxmlformats.org/markup-compatibility/2006">
    <mc:Choice Requires="x15">
      <x15ac:absPath xmlns:x15ac="http://schemas.microsoft.com/office/spreadsheetml/2010/11/ac" url="E:\ВК Я\оприлюднив\"/>
    </mc:Choice>
  </mc:AlternateContent>
  <bookViews>
    <workbookView xWindow="0" yWindow="0" windowWidth="20400" windowHeight="7755" tabRatio="585" firstSheet="1" activeTab="8"/>
  </bookViews>
  <sheets>
    <sheet name="дод1" sheetId="126" r:id="rId1"/>
    <sheet name="dod2" sheetId="127" r:id="rId2"/>
    <sheet name="dod3" sheetId="97" r:id="rId3"/>
    <sheet name="dod4" sheetId="107" r:id="rId4"/>
    <sheet name="dod5" sheetId="98" r:id="rId5"/>
    <sheet name="dod6" sheetId="108" r:id="rId6"/>
    <sheet name="dod7" sheetId="116" r:id="rId7"/>
    <sheet name="dod8" sheetId="125" r:id="rId8"/>
    <sheet name="dod9" sheetId="128" r:id="rId9"/>
  </sheets>
  <definedNames>
    <definedName name="_GoBack" localSheetId="4">'dod5'!#REF!</definedName>
    <definedName name="_xlnm.Print_Titles" localSheetId="2">'dod3'!$9:$12</definedName>
    <definedName name="_xlnm.Print_Titles" localSheetId="4">'dod5'!$4:$5</definedName>
    <definedName name="_xlnm.Print_Titles" localSheetId="7">'dod8'!$8:$10</definedName>
    <definedName name="_xlnm.Print_Area" localSheetId="1">'dod2'!$A$1:$F$37</definedName>
    <definedName name="_xlnm.Print_Area" localSheetId="2">'dod3'!$A$2:$P$200</definedName>
    <definedName name="_xlnm.Print_Area" localSheetId="3">'dod4'!$B$1:$Q$18</definedName>
    <definedName name="_xlnm.Print_Area" localSheetId="4">'dod5'!$B$1:$J$194</definedName>
    <definedName name="_xlnm.Print_Area" localSheetId="5">'dod6'!$A$1:$E$35</definedName>
    <definedName name="_xlnm.Print_Area" localSheetId="6">'dod7'!$A$1:$F$21</definedName>
    <definedName name="_xlnm.Print_Area" localSheetId="7">'dod8'!$A$1:$J$222</definedName>
    <definedName name="_xlnm.Print_Area" localSheetId="0">дод1!$A$1:$F$118</definedName>
    <definedName name="С16" localSheetId="1">#REF!</definedName>
    <definedName name="С16" localSheetId="7">#REF!</definedName>
    <definedName name="С16" localSheetId="0">#REF!</definedName>
    <definedName name="С16">#REF!</definedName>
  </definedNames>
  <calcPr calcId="15251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90" i="98" l="1"/>
  <c r="J91" i="98" l="1"/>
  <c r="O194" i="97" l="1"/>
  <c r="K194" i="97"/>
  <c r="J194" i="97"/>
  <c r="F194" i="97"/>
  <c r="I18" i="98" l="1"/>
  <c r="K28" i="97"/>
  <c r="F28" i="97"/>
  <c r="F190" i="97" l="1"/>
  <c r="F125" i="97"/>
  <c r="G125" i="97"/>
  <c r="G194" i="97"/>
  <c r="I40" i="98" l="1"/>
  <c r="K50" i="97"/>
  <c r="F41" i="97"/>
  <c r="H196" i="125"/>
  <c r="J196" i="125"/>
  <c r="I196" i="125"/>
  <c r="I174" i="98"/>
  <c r="K171" i="97"/>
  <c r="F171" i="97"/>
  <c r="F66" i="97"/>
  <c r="F76" i="97"/>
  <c r="F123" i="97" l="1"/>
  <c r="F122" i="97"/>
  <c r="F121" i="97"/>
  <c r="F54" i="97" l="1"/>
  <c r="F100" i="97"/>
  <c r="L19" i="97"/>
  <c r="L104" i="97"/>
  <c r="E28" i="108"/>
  <c r="E21" i="108"/>
  <c r="H194" i="97"/>
  <c r="G61" i="125"/>
  <c r="I46" i="98"/>
  <c r="K54" i="97"/>
  <c r="H54" i="97"/>
  <c r="L28" i="97" l="1"/>
  <c r="O28" i="97"/>
  <c r="L194" i="97"/>
  <c r="F55" i="97" l="1"/>
  <c r="F138" i="97" l="1"/>
  <c r="F137" i="97"/>
  <c r="G29" i="97" l="1"/>
  <c r="F29" i="97"/>
  <c r="N28" i="97"/>
  <c r="N194" i="97" l="1"/>
  <c r="I30" i="98" l="1"/>
  <c r="K37" i="97"/>
  <c r="F142" i="97" l="1"/>
  <c r="L30" i="97"/>
  <c r="M30" i="97"/>
  <c r="M28" i="97"/>
  <c r="M27" i="97"/>
  <c r="L27" i="97"/>
  <c r="M194" i="97"/>
  <c r="R102" i="97"/>
  <c r="E102" i="97"/>
  <c r="O102" i="97"/>
  <c r="E11" i="108"/>
  <c r="K173" i="97"/>
  <c r="I175" i="98"/>
  <c r="F51" i="97"/>
  <c r="J102" i="97" l="1"/>
  <c r="F114" i="97"/>
  <c r="P102" i="97" l="1"/>
  <c r="J170" i="125"/>
  <c r="I170" i="125"/>
  <c r="J164" i="125"/>
  <c r="H197" i="125" l="1"/>
  <c r="H195" i="125"/>
  <c r="F172" i="97"/>
  <c r="H198" i="125"/>
  <c r="F173" i="97"/>
  <c r="H199" i="125"/>
  <c r="J199" i="125"/>
  <c r="I199" i="125"/>
  <c r="I188" i="98" l="1"/>
  <c r="K188" i="97"/>
  <c r="H188" i="97"/>
  <c r="G188" i="97"/>
  <c r="F188" i="97"/>
  <c r="R165" i="97"/>
  <c r="F165" i="97"/>
  <c r="G165" i="97"/>
  <c r="J180" i="125"/>
  <c r="I180" i="125"/>
  <c r="I143" i="98"/>
  <c r="K156" i="97"/>
  <c r="H156" i="97"/>
  <c r="G156" i="97"/>
  <c r="F156" i="97"/>
  <c r="F27" i="97"/>
  <c r="N31" i="97" l="1"/>
  <c r="M31" i="97"/>
  <c r="L31" i="97"/>
  <c r="I60" i="98"/>
  <c r="K101" i="97"/>
  <c r="H134" i="97"/>
  <c r="F134" i="97"/>
  <c r="J163" i="98"/>
  <c r="I163" i="98"/>
  <c r="J161" i="98"/>
  <c r="I160" i="98"/>
  <c r="I159" i="98"/>
  <c r="I158" i="98"/>
  <c r="I157" i="98"/>
  <c r="I156" i="98"/>
  <c r="J155" i="98"/>
  <c r="I155" i="98"/>
  <c r="J154" i="98"/>
  <c r="I154" i="98"/>
  <c r="J153" i="98"/>
  <c r="I153" i="98"/>
  <c r="H152" i="98"/>
  <c r="J152" i="98" s="1"/>
  <c r="J151" i="98"/>
  <c r="J150" i="98"/>
  <c r="I150" i="98"/>
  <c r="J149" i="98"/>
  <c r="I149" i="98"/>
  <c r="I148" i="98"/>
  <c r="H148" i="98"/>
  <c r="J148" i="98" s="1"/>
  <c r="I147" i="98"/>
  <c r="H147" i="98"/>
  <c r="J147" i="98" s="1"/>
  <c r="I146" i="98"/>
  <c r="H146" i="98"/>
  <c r="J146" i="98" s="1"/>
  <c r="J145" i="98"/>
  <c r="I145" i="98"/>
  <c r="J162" i="98"/>
  <c r="I162" i="98"/>
  <c r="I144" i="98"/>
  <c r="H144" i="98"/>
  <c r="J144" i="98" s="1"/>
  <c r="I142" i="98" l="1"/>
  <c r="K162" i="97"/>
  <c r="K161" i="97"/>
  <c r="K160" i="97"/>
  <c r="K158" i="97"/>
  <c r="K159" i="97"/>
  <c r="F157" i="97"/>
  <c r="J96" i="98"/>
  <c r="I96" i="98"/>
  <c r="I87" i="98"/>
  <c r="I85" i="98"/>
  <c r="G129" i="97"/>
  <c r="F129" i="97"/>
  <c r="I78" i="98"/>
  <c r="K121" i="97"/>
  <c r="G118" i="97"/>
  <c r="F118" i="97"/>
  <c r="I75" i="98"/>
  <c r="K120" i="97"/>
  <c r="F120" i="97"/>
  <c r="G120" i="97"/>
  <c r="I79" i="98"/>
  <c r="K125" i="97"/>
  <c r="R120" i="97" l="1"/>
  <c r="E157" i="97"/>
  <c r="I17" i="98"/>
  <c r="K27" i="97"/>
  <c r="O27" i="97" l="1"/>
  <c r="I71" i="98"/>
  <c r="K115" i="97"/>
  <c r="F112" i="97"/>
  <c r="I65" i="98"/>
  <c r="K108" i="97"/>
  <c r="F108" i="97"/>
  <c r="G108" i="97"/>
  <c r="F110" i="97"/>
  <c r="K31" i="97"/>
  <c r="F31" i="97"/>
  <c r="H31" i="97"/>
  <c r="I99" i="98"/>
  <c r="I89" i="98"/>
  <c r="I86" i="98"/>
  <c r="H142" i="97"/>
  <c r="K150" i="97"/>
  <c r="K149" i="97"/>
  <c r="E13" i="127"/>
  <c r="K143" i="97"/>
  <c r="K142" i="97"/>
  <c r="K140" i="97"/>
  <c r="G153" i="97"/>
  <c r="F153" i="97"/>
  <c r="F149" i="97"/>
  <c r="F141" i="97"/>
  <c r="F135" i="97"/>
  <c r="F146" i="97"/>
  <c r="F145" i="97"/>
  <c r="H104" i="125"/>
  <c r="F77" i="97"/>
  <c r="F71" i="97"/>
  <c r="F80" i="97"/>
  <c r="F63" i="97"/>
  <c r="F81" i="97"/>
  <c r="F88" i="97"/>
  <c r="F60" i="97"/>
  <c r="G89" i="97"/>
  <c r="F89" i="97"/>
  <c r="K99" i="97"/>
  <c r="I56" i="98"/>
  <c r="I57" i="98"/>
  <c r="I48" i="98"/>
  <c r="K82" i="97"/>
  <c r="I167" i="98"/>
  <c r="O166" i="97"/>
  <c r="E166" i="97"/>
  <c r="K167" i="97"/>
  <c r="I43" i="98"/>
  <c r="K51" i="97"/>
  <c r="H48" i="97"/>
  <c r="F49" i="97"/>
  <c r="F43" i="97"/>
  <c r="F42" i="97"/>
  <c r="I42" i="98"/>
  <c r="I33" i="98"/>
  <c r="K41" i="97"/>
  <c r="I35" i="98"/>
  <c r="J35" i="98" s="1"/>
  <c r="I34" i="98"/>
  <c r="H190" i="125" l="1"/>
  <c r="G190" i="125" s="1"/>
  <c r="J166" i="97"/>
  <c r="R31" i="97"/>
  <c r="H188" i="125"/>
  <c r="P166" i="97" l="1"/>
  <c r="J31" i="125"/>
  <c r="I31" i="125"/>
  <c r="H31" i="125"/>
  <c r="O31" i="97"/>
  <c r="G28" i="97"/>
  <c r="F37" i="97"/>
  <c r="I24" i="98"/>
  <c r="K30" i="97"/>
  <c r="I28" i="98"/>
  <c r="K33" i="97"/>
  <c r="F34" i="97"/>
  <c r="H33" i="97"/>
  <c r="F33" i="97"/>
  <c r="H30" i="97"/>
  <c r="F30" i="97"/>
  <c r="H28" i="97"/>
  <c r="H27" i="97"/>
  <c r="G33" i="97"/>
  <c r="G32" i="97"/>
  <c r="F32" i="97"/>
  <c r="G31" i="97"/>
  <c r="G30" i="97"/>
  <c r="G27" i="97"/>
  <c r="O30" i="97" l="1"/>
  <c r="E24" i="108"/>
  <c r="E20" i="108"/>
  <c r="E19" i="108"/>
  <c r="O19" i="97"/>
  <c r="L151" i="97"/>
  <c r="F24" i="97"/>
  <c r="I13" i="125"/>
  <c r="J13" i="125"/>
  <c r="K24" i="125"/>
  <c r="J23" i="125"/>
  <c r="I23" i="125"/>
  <c r="K24" i="97"/>
  <c r="I14" i="98"/>
  <c r="I12" i="98"/>
  <c r="F21" i="97"/>
  <c r="H13" i="125"/>
  <c r="R24" i="97" l="1"/>
  <c r="I8" i="98"/>
  <c r="K15" i="97"/>
  <c r="F15" i="97"/>
  <c r="J202" i="97" l="1"/>
  <c r="E86" i="126"/>
  <c r="C111" i="126"/>
  <c r="D87" i="126" l="1"/>
  <c r="C113" i="126"/>
  <c r="O151" i="97" l="1"/>
  <c r="O148" i="97"/>
  <c r="E148" i="97"/>
  <c r="H164" i="125" l="1"/>
  <c r="J148" i="97"/>
  <c r="P148" i="97"/>
  <c r="R93" i="97"/>
  <c r="R90" i="97"/>
  <c r="R54" i="97"/>
  <c r="O93" i="97"/>
  <c r="E93" i="97"/>
  <c r="E90" i="97"/>
  <c r="O90" i="97"/>
  <c r="I164" i="125" l="1"/>
  <c r="G164" i="125" s="1"/>
  <c r="J90" i="97"/>
  <c r="J93" i="97"/>
  <c r="P93" i="97"/>
  <c r="P90" i="97" l="1"/>
  <c r="J140" i="98" l="1"/>
  <c r="G135" i="125" l="1"/>
  <c r="F127" i="97"/>
  <c r="H46" i="125"/>
  <c r="G46" i="125" s="1"/>
  <c r="J87" i="125" l="1"/>
  <c r="E80" i="97"/>
  <c r="O80" i="97"/>
  <c r="H87" i="125" l="1"/>
  <c r="J80" i="97"/>
  <c r="P80" i="97" l="1"/>
  <c r="I87" i="125"/>
  <c r="G87" i="125" s="1"/>
  <c r="K147" i="97"/>
  <c r="I111" i="98"/>
  <c r="I117" i="98"/>
  <c r="I97" i="98"/>
  <c r="O147" i="97" l="1"/>
  <c r="I39" i="98"/>
  <c r="K48" i="97"/>
  <c r="J200" i="125" l="1"/>
  <c r="I200" i="125"/>
  <c r="G200" i="125" s="1"/>
  <c r="I173" i="98"/>
  <c r="I177" i="98"/>
  <c r="K174" i="97"/>
  <c r="K170" i="97"/>
  <c r="E174" i="97"/>
  <c r="L169" i="97"/>
  <c r="M169" i="97"/>
  <c r="N169" i="97"/>
  <c r="G169" i="97"/>
  <c r="H169" i="97"/>
  <c r="I169" i="97"/>
  <c r="K200" i="125" l="1"/>
  <c r="R174" i="97"/>
  <c r="M200" i="125"/>
  <c r="O174" i="97"/>
  <c r="J174" i="97" l="1"/>
  <c r="O71" i="97"/>
  <c r="J78" i="125"/>
  <c r="F65" i="97"/>
  <c r="E71" i="97"/>
  <c r="J71" i="97" l="1"/>
  <c r="H78" i="125"/>
  <c r="L200" i="125"/>
  <c r="P174" i="97"/>
  <c r="I78" i="125" l="1"/>
  <c r="G78" i="125" s="1"/>
  <c r="P71" i="97"/>
  <c r="L178" i="97" l="1"/>
  <c r="O178" i="97"/>
  <c r="F13" i="116"/>
  <c r="F9" i="116" l="1"/>
  <c r="L43" i="97" l="1"/>
  <c r="M198" i="125" l="1"/>
  <c r="R173" i="97"/>
  <c r="K44" i="97"/>
  <c r="R44" i="97" l="1"/>
  <c r="L41" i="97" l="1"/>
  <c r="L42" i="97"/>
  <c r="L44" i="97"/>
  <c r="H50" i="125"/>
  <c r="F44" i="97"/>
  <c r="F48" i="97" l="1"/>
  <c r="F113" i="97" l="1"/>
  <c r="J137" i="125" l="1"/>
  <c r="G138" i="125"/>
  <c r="G128" i="125"/>
  <c r="J140" i="125"/>
  <c r="R131" i="97"/>
  <c r="R118" i="97"/>
  <c r="J80" i="98"/>
  <c r="O131" i="97"/>
  <c r="N117" i="97"/>
  <c r="L117" i="97"/>
  <c r="H117" i="97"/>
  <c r="I117" i="97"/>
  <c r="J136" i="125"/>
  <c r="O128" i="97"/>
  <c r="E128" i="97"/>
  <c r="F119" i="97"/>
  <c r="M120" i="97"/>
  <c r="H193" i="125"/>
  <c r="R125" i="97" l="1"/>
  <c r="H136" i="125"/>
  <c r="I73" i="98"/>
  <c r="J127" i="125"/>
  <c r="J128" i="97"/>
  <c r="J131" i="97"/>
  <c r="K117" i="97"/>
  <c r="G195" i="125"/>
  <c r="M117" i="97"/>
  <c r="R121" i="97"/>
  <c r="I136" i="125" l="1"/>
  <c r="G136" i="125" s="1"/>
  <c r="P128" i="97"/>
  <c r="I140" i="125"/>
  <c r="G199" i="125" l="1"/>
  <c r="G198" i="125"/>
  <c r="J194" i="125"/>
  <c r="I194" i="125"/>
  <c r="I193" i="125" s="1"/>
  <c r="G57" i="125"/>
  <c r="T78" i="97"/>
  <c r="J85" i="125" s="1"/>
  <c r="F75" i="97"/>
  <c r="J58" i="125"/>
  <c r="R48" i="97"/>
  <c r="R51" i="97"/>
  <c r="R42" i="97"/>
  <c r="J56" i="125"/>
  <c r="E50" i="97"/>
  <c r="L39" i="97"/>
  <c r="M39" i="97"/>
  <c r="N39" i="97"/>
  <c r="I39" i="97"/>
  <c r="H39" i="97"/>
  <c r="G39" i="97"/>
  <c r="F45" i="97"/>
  <c r="F46" i="97"/>
  <c r="O51" i="97"/>
  <c r="E51" i="97"/>
  <c r="K43" i="97"/>
  <c r="R41" i="97" l="1"/>
  <c r="I172" i="98"/>
  <c r="R50" i="97"/>
  <c r="F169" i="97"/>
  <c r="M194" i="125"/>
  <c r="J193" i="125"/>
  <c r="K169" i="97"/>
  <c r="H58" i="125"/>
  <c r="J51" i="97"/>
  <c r="F39" i="97"/>
  <c r="K39" i="97"/>
  <c r="R171" i="97"/>
  <c r="O50" i="97"/>
  <c r="I58" i="125" l="1"/>
  <c r="G58" i="125" s="1"/>
  <c r="P51" i="97"/>
  <c r="J50" i="97"/>
  <c r="L24" i="125"/>
  <c r="G24" i="125"/>
  <c r="J19" i="125"/>
  <c r="I19" i="125"/>
  <c r="H19" i="125"/>
  <c r="I56" i="125" l="1"/>
  <c r="G56" i="125" s="1"/>
  <c r="P50" i="97"/>
  <c r="G19" i="125"/>
  <c r="M19" i="125"/>
  <c r="G14" i="125" l="1"/>
  <c r="J18" i="125"/>
  <c r="M18" i="125" s="1"/>
  <c r="G20" i="125"/>
  <c r="G21" i="125"/>
  <c r="G22" i="125"/>
  <c r="G23" i="125"/>
  <c r="R23" i="97"/>
  <c r="I10" i="98"/>
  <c r="N14" i="97"/>
  <c r="M14" i="97"/>
  <c r="I14" i="97"/>
  <c r="E23" i="97"/>
  <c r="O23" i="97"/>
  <c r="E24" i="97"/>
  <c r="O24" i="97"/>
  <c r="K17" i="97"/>
  <c r="F16" i="97"/>
  <c r="O15" i="97"/>
  <c r="H15" i="97"/>
  <c r="I7" i="98" l="1"/>
  <c r="L14" i="97"/>
  <c r="H18" i="125"/>
  <c r="K18" i="125" s="1"/>
  <c r="K19" i="125"/>
  <c r="H14" i="97"/>
  <c r="F14" i="97"/>
  <c r="J24" i="97"/>
  <c r="K14" i="97"/>
  <c r="J23" i="97"/>
  <c r="H91" i="125"/>
  <c r="J90" i="125"/>
  <c r="I62" i="98"/>
  <c r="R156" i="97"/>
  <c r="J69" i="98"/>
  <c r="I49" i="98"/>
  <c r="K103" i="97"/>
  <c r="F59" i="97"/>
  <c r="I45" i="98" l="1"/>
  <c r="J57" i="98"/>
  <c r="J62" i="98"/>
  <c r="R83" i="97"/>
  <c r="P24" i="97"/>
  <c r="P23" i="97"/>
  <c r="L19" i="125"/>
  <c r="I18" i="125"/>
  <c r="L18" i="125" s="1"/>
  <c r="R99" i="97"/>
  <c r="G91" i="125"/>
  <c r="K100" i="97"/>
  <c r="G99" i="97"/>
  <c r="F99" i="97"/>
  <c r="G83" i="97"/>
  <c r="F83" i="97"/>
  <c r="G82" i="97"/>
  <c r="F82" i="97"/>
  <c r="H115" i="125"/>
  <c r="H112" i="125"/>
  <c r="J112" i="125"/>
  <c r="J111" i="125" s="1"/>
  <c r="I112" i="125"/>
  <c r="R115" i="97"/>
  <c r="J121" i="125"/>
  <c r="I69" i="98"/>
  <c r="I70" i="98"/>
  <c r="R100" i="97" l="1"/>
  <c r="G18" i="125"/>
  <c r="G115" i="125"/>
  <c r="G112" i="125"/>
  <c r="I67" i="98" l="1"/>
  <c r="O115" i="97"/>
  <c r="E115" i="97"/>
  <c r="N107" i="97"/>
  <c r="M107" i="97"/>
  <c r="L107" i="97"/>
  <c r="I107" i="97"/>
  <c r="G107" i="97"/>
  <c r="K112" i="97"/>
  <c r="K111" i="97"/>
  <c r="H108" i="97"/>
  <c r="G209" i="125"/>
  <c r="F183" i="97"/>
  <c r="J205" i="125"/>
  <c r="G203" i="125"/>
  <c r="F177" i="97"/>
  <c r="G189" i="125"/>
  <c r="G180" i="125"/>
  <c r="G145" i="125"/>
  <c r="R110" i="97" l="1"/>
  <c r="F107" i="97"/>
  <c r="J114" i="125"/>
  <c r="H107" i="97"/>
  <c r="K107" i="97"/>
  <c r="H121" i="125"/>
  <c r="R108" i="97"/>
  <c r="I64" i="98"/>
  <c r="J115" i="97"/>
  <c r="P115" i="97" l="1"/>
  <c r="I121" i="125"/>
  <c r="G121" i="125" s="1"/>
  <c r="E144" i="97"/>
  <c r="E25" i="108"/>
  <c r="I123" i="98"/>
  <c r="I121" i="98"/>
  <c r="I92" i="98"/>
  <c r="I88" i="98" s="1"/>
  <c r="G155" i="125"/>
  <c r="N133" i="97"/>
  <c r="M133" i="97"/>
  <c r="L133" i="97"/>
  <c r="I133" i="97"/>
  <c r="H139" i="98"/>
  <c r="I100" i="98" l="1"/>
  <c r="I83" i="98" s="1"/>
  <c r="H160" i="125"/>
  <c r="H133" i="97"/>
  <c r="O144" i="97"/>
  <c r="J154" i="125"/>
  <c r="J160" i="125"/>
  <c r="O179" i="97"/>
  <c r="E179" i="97"/>
  <c r="H205" i="125" l="1"/>
  <c r="J179" i="97"/>
  <c r="J144" i="97"/>
  <c r="J191" i="125"/>
  <c r="J188" i="125" s="1"/>
  <c r="O157" i="97"/>
  <c r="E158" i="97"/>
  <c r="E162" i="97"/>
  <c r="L155" i="97"/>
  <c r="M155" i="97"/>
  <c r="N155" i="97"/>
  <c r="G155" i="97"/>
  <c r="H155" i="97"/>
  <c r="I155" i="97"/>
  <c r="E156" i="97"/>
  <c r="J22" i="98"/>
  <c r="J182" i="125" l="1"/>
  <c r="P179" i="97"/>
  <c r="I205" i="125"/>
  <c r="G205" i="125" s="1"/>
  <c r="H182" i="125"/>
  <c r="O158" i="97"/>
  <c r="I160" i="125"/>
  <c r="G160" i="125" s="1"/>
  <c r="P144" i="97"/>
  <c r="H186" i="125"/>
  <c r="O162" i="97"/>
  <c r="J186" i="125"/>
  <c r="K155" i="97"/>
  <c r="I20" i="98"/>
  <c r="J158" i="97" l="1"/>
  <c r="J162" i="97"/>
  <c r="F133" i="97"/>
  <c r="J146" i="125"/>
  <c r="E135" i="97"/>
  <c r="O135" i="97"/>
  <c r="H35" i="125"/>
  <c r="G35" i="125" s="1"/>
  <c r="J29" i="125"/>
  <c r="I25" i="98"/>
  <c r="I23" i="98"/>
  <c r="J19" i="98"/>
  <c r="I21" i="98"/>
  <c r="J21" i="98" s="1"/>
  <c r="K29" i="97"/>
  <c r="P162" i="97" l="1"/>
  <c r="I182" i="125"/>
  <c r="G182" i="125" s="1"/>
  <c r="P158" i="97"/>
  <c r="J135" i="97"/>
  <c r="J34" i="125"/>
  <c r="F155" i="97"/>
  <c r="H146" i="125"/>
  <c r="I186" i="125"/>
  <c r="G186" i="125" s="1"/>
  <c r="G31" i="125"/>
  <c r="E194" i="97"/>
  <c r="P194" i="97" s="1"/>
  <c r="P135" i="97" l="1"/>
  <c r="I146" i="125"/>
  <c r="G146" i="125" s="1"/>
  <c r="J181" i="125"/>
  <c r="J157" i="97"/>
  <c r="I181" i="125" l="1"/>
  <c r="H181" i="125"/>
  <c r="P157" i="97"/>
  <c r="R112" i="97"/>
  <c r="R111" i="97"/>
  <c r="R103" i="97"/>
  <c r="R101" i="97"/>
  <c r="R82" i="97"/>
  <c r="R59" i="97"/>
  <c r="R37" i="97"/>
  <c r="R33" i="97"/>
  <c r="R29" i="97"/>
  <c r="R27" i="97"/>
  <c r="R17" i="97"/>
  <c r="R15" i="97"/>
  <c r="O180" i="97"/>
  <c r="O143" i="97"/>
  <c r="O113" i="97"/>
  <c r="O54" i="97"/>
  <c r="L26" i="97"/>
  <c r="J143" i="97" l="1"/>
  <c r="H179" i="125"/>
  <c r="G181" i="125"/>
  <c r="G35" i="97"/>
  <c r="J41" i="125" l="1"/>
  <c r="J40" i="125"/>
  <c r="J42" i="125"/>
  <c r="E36" i="97"/>
  <c r="E37" i="97"/>
  <c r="O37" i="97"/>
  <c r="O35" i="97"/>
  <c r="O34" i="97"/>
  <c r="E35" i="97"/>
  <c r="E34" i="97"/>
  <c r="J35" i="97" l="1"/>
  <c r="J37" i="97"/>
  <c r="H40" i="125"/>
  <c r="H42" i="125"/>
  <c r="H41" i="125"/>
  <c r="P35" i="97" l="1"/>
  <c r="I42" i="125"/>
  <c r="G42" i="125" s="1"/>
  <c r="P37" i="97"/>
  <c r="I40" i="125"/>
  <c r="G40" i="125" s="1"/>
  <c r="K161" i="116"/>
  <c r="F16" i="116" l="1"/>
  <c r="C104" i="126" l="1"/>
  <c r="O191" i="97" l="1"/>
  <c r="O190" i="97"/>
  <c r="O189" i="97"/>
  <c r="O188" i="97"/>
  <c r="O185" i="97"/>
  <c r="O184" i="97"/>
  <c r="O183" i="97"/>
  <c r="O177" i="97"/>
  <c r="O173" i="97"/>
  <c r="O172" i="97"/>
  <c r="O171" i="97"/>
  <c r="O170" i="97"/>
  <c r="O169" i="97" s="1"/>
  <c r="O167" i="97"/>
  <c r="O165" i="97"/>
  <c r="O161" i="97"/>
  <c r="O160" i="97"/>
  <c r="O159" i="97"/>
  <c r="O156" i="97"/>
  <c r="O153" i="97"/>
  <c r="O146" i="97"/>
  <c r="O145" i="97"/>
  <c r="O142" i="97"/>
  <c r="O141" i="97"/>
  <c r="O140" i="97"/>
  <c r="O139" i="97"/>
  <c r="O138" i="97"/>
  <c r="O137" i="97"/>
  <c r="O136" i="97"/>
  <c r="O134" i="97"/>
  <c r="O130" i="97"/>
  <c r="O129" i="97"/>
  <c r="O127" i="97"/>
  <c r="O126" i="97"/>
  <c r="O125" i="97"/>
  <c r="O124" i="97"/>
  <c r="O123" i="97"/>
  <c r="O122" i="97"/>
  <c r="O121" i="97"/>
  <c r="O120" i="97"/>
  <c r="O119" i="97"/>
  <c r="O118" i="97"/>
  <c r="O114" i="97"/>
  <c r="O112" i="97"/>
  <c r="O111" i="97"/>
  <c r="O110" i="97"/>
  <c r="O109" i="97"/>
  <c r="O108" i="97"/>
  <c r="O104" i="97"/>
  <c r="O103" i="97"/>
  <c r="O101" i="97"/>
  <c r="O100" i="97"/>
  <c r="O96" i="97"/>
  <c r="O89" i="97"/>
  <c r="O88" i="97"/>
  <c r="O87" i="97"/>
  <c r="O86" i="97"/>
  <c r="O85" i="97"/>
  <c r="O84" i="97"/>
  <c r="O83" i="97"/>
  <c r="O82" i="97"/>
  <c r="O81" i="97"/>
  <c r="O77" i="97"/>
  <c r="O76" i="97"/>
  <c r="O75" i="97"/>
  <c r="O74" i="97"/>
  <c r="O73" i="97"/>
  <c r="O72" i="97"/>
  <c r="O70" i="97"/>
  <c r="O69" i="97"/>
  <c r="O68" i="97"/>
  <c r="O67" i="97"/>
  <c r="O66" i="97"/>
  <c r="O65" i="97"/>
  <c r="O64" i="97"/>
  <c r="O63" i="97"/>
  <c r="O62" i="97"/>
  <c r="O61" i="97"/>
  <c r="O60" i="97"/>
  <c r="O59" i="97"/>
  <c r="O58" i="97"/>
  <c r="O57" i="97"/>
  <c r="O56" i="97"/>
  <c r="O55" i="97"/>
  <c r="O49" i="97"/>
  <c r="O48" i="97"/>
  <c r="O47" i="97"/>
  <c r="O46" i="97"/>
  <c r="O45" i="97"/>
  <c r="O44" i="97"/>
  <c r="O42" i="97"/>
  <c r="O41" i="97"/>
  <c r="O40" i="97"/>
  <c r="O36" i="97"/>
  <c r="O33" i="97"/>
  <c r="O32" i="97"/>
  <c r="O29" i="97"/>
  <c r="O22" i="97"/>
  <c r="O21" i="97"/>
  <c r="O18" i="97"/>
  <c r="O17" i="97"/>
  <c r="O16" i="97"/>
  <c r="J98" i="125"/>
  <c r="J177" i="125"/>
  <c r="O107" i="97" l="1"/>
  <c r="O106" i="97" s="1"/>
  <c r="O14" i="97"/>
  <c r="J31" i="97"/>
  <c r="G133" i="97"/>
  <c r="O117" i="97"/>
  <c r="O116" i="97" s="1"/>
  <c r="O155" i="97"/>
  <c r="O154" i="97" s="1"/>
  <c r="O187" i="97"/>
  <c r="O186" i="97" s="1"/>
  <c r="O182" i="97"/>
  <c r="O181" i="97" s="1"/>
  <c r="O176" i="97"/>
  <c r="O168" i="97"/>
  <c r="O164" i="97"/>
  <c r="O163" i="97" s="1"/>
  <c r="O175" i="97" l="1"/>
  <c r="O13" i="97"/>
  <c r="D106" i="126"/>
  <c r="D92" i="126" s="1"/>
  <c r="D86" i="126" s="1"/>
  <c r="C112" i="126"/>
  <c r="R28" i="97" l="1"/>
  <c r="F58" i="97" l="1"/>
  <c r="C105" i="126" l="1"/>
  <c r="C103" i="126"/>
  <c r="G33" i="125" l="1"/>
  <c r="G30" i="125"/>
  <c r="I106" i="97" l="1"/>
  <c r="E183" i="97"/>
  <c r="G26" i="97"/>
  <c r="G25" i="97" s="1"/>
  <c r="F13" i="97"/>
  <c r="H13" i="97"/>
  <c r="J211" i="125" l="1"/>
  <c r="J210" i="125"/>
  <c r="J208" i="125" l="1"/>
  <c r="K187" i="97"/>
  <c r="K186" i="97" s="1"/>
  <c r="G131" i="107" l="1"/>
  <c r="G131" i="108"/>
  <c r="G130" i="107"/>
  <c r="G130" i="108"/>
  <c r="G128" i="107"/>
  <c r="G128" i="108"/>
  <c r="G173" i="125"/>
  <c r="G129" i="108"/>
  <c r="G129" i="107"/>
  <c r="G126" i="107"/>
  <c r="G126" i="108"/>
  <c r="G169" i="125"/>
  <c r="G127" i="107"/>
  <c r="G127" i="108"/>
  <c r="G124" i="107"/>
  <c r="G124" i="108"/>
  <c r="G123" i="107"/>
  <c r="G123" i="108"/>
  <c r="G122" i="107"/>
  <c r="G122" i="108"/>
  <c r="G121" i="107"/>
  <c r="G121" i="108"/>
  <c r="G120" i="107"/>
  <c r="G120" i="108"/>
  <c r="G119" i="107"/>
  <c r="G119" i="108"/>
  <c r="G118" i="107"/>
  <c r="G118" i="108"/>
  <c r="G117" i="107"/>
  <c r="G117" i="108"/>
  <c r="G116" i="107"/>
  <c r="G116" i="108"/>
  <c r="G115" i="107"/>
  <c r="G115" i="108"/>
  <c r="G114" i="107"/>
  <c r="G114" i="108"/>
  <c r="G112" i="107"/>
  <c r="G112" i="108"/>
  <c r="G72" i="107"/>
  <c r="G72" i="108"/>
  <c r="G70" i="107"/>
  <c r="G70" i="108"/>
  <c r="G69" i="107"/>
  <c r="G69" i="108"/>
  <c r="G68" i="107"/>
  <c r="G68" i="108"/>
  <c r="G67" i="107"/>
  <c r="G67" i="108"/>
  <c r="G65" i="107"/>
  <c r="G65" i="108"/>
  <c r="G64" i="107"/>
  <c r="G64" i="108"/>
  <c r="G63" i="107"/>
  <c r="G63" i="108"/>
  <c r="G62" i="107"/>
  <c r="G62" i="108"/>
  <c r="G61" i="107"/>
  <c r="G61" i="108"/>
  <c r="G60" i="107"/>
  <c r="G60" i="108"/>
  <c r="G59" i="107"/>
  <c r="G59" i="108"/>
  <c r="G58" i="107"/>
  <c r="G58" i="108"/>
  <c r="G57" i="107"/>
  <c r="G57" i="108"/>
  <c r="G56" i="107"/>
  <c r="G56" i="108"/>
  <c r="G55" i="107"/>
  <c r="G55" i="108"/>
  <c r="G54" i="107"/>
  <c r="G54" i="108"/>
  <c r="G53" i="107"/>
  <c r="G53" i="108"/>
  <c r="G52" i="107"/>
  <c r="G52" i="108"/>
  <c r="G51" i="107"/>
  <c r="G51" i="108"/>
  <c r="G50" i="107"/>
  <c r="G50" i="108"/>
  <c r="G49" i="107"/>
  <c r="G49" i="108"/>
  <c r="G48" i="107"/>
  <c r="G48" i="108"/>
  <c r="G47" i="107"/>
  <c r="G47" i="108"/>
  <c r="G45" i="107"/>
  <c r="G45" i="108"/>
  <c r="G23" i="107"/>
  <c r="G23" i="108"/>
  <c r="G22" i="107"/>
  <c r="G22" i="108"/>
  <c r="G21" i="107"/>
  <c r="G21" i="108"/>
  <c r="G20" i="107"/>
  <c r="G20" i="108"/>
  <c r="G19" i="107"/>
  <c r="G19" i="108"/>
  <c r="G17" i="97"/>
  <c r="G16" i="108"/>
  <c r="G14" i="108"/>
  <c r="G13" i="107"/>
  <c r="G13" i="108"/>
  <c r="G139" i="107"/>
  <c r="G139" i="108"/>
  <c r="K158" i="107"/>
  <c r="K233" i="98"/>
  <c r="K158" i="108"/>
  <c r="G14" i="97" l="1"/>
  <c r="C34" i="127"/>
  <c r="C32" i="127"/>
  <c r="C31" i="127"/>
  <c r="C30" i="127"/>
  <c r="C15" i="127"/>
  <c r="C14" i="127"/>
  <c r="C13" i="127"/>
  <c r="F12" i="127"/>
  <c r="E12" i="127"/>
  <c r="D12" i="127"/>
  <c r="C110" i="126"/>
  <c r="C109" i="126"/>
  <c r="C108" i="126"/>
  <c r="C107" i="126"/>
  <c r="C106" i="126"/>
  <c r="C89" i="126"/>
  <c r="C88" i="126"/>
  <c r="C80" i="126"/>
  <c r="C79" i="126"/>
  <c r="F78" i="126"/>
  <c r="F77" i="126" s="1"/>
  <c r="E78" i="126"/>
  <c r="C78" i="126" s="1"/>
  <c r="C76" i="126"/>
  <c r="C75" i="126"/>
  <c r="F74" i="126"/>
  <c r="E74" i="126"/>
  <c r="C74" i="126" s="1"/>
  <c r="D73" i="126"/>
  <c r="C72" i="126"/>
  <c r="C71" i="126"/>
  <c r="C70" i="126"/>
  <c r="C69" i="126"/>
  <c r="C68" i="126"/>
  <c r="C67" i="126"/>
  <c r="E65" i="126"/>
  <c r="C65" i="126" s="1"/>
  <c r="D64" i="126"/>
  <c r="C63" i="126"/>
  <c r="C62" i="126"/>
  <c r="C61" i="126"/>
  <c r="E60" i="126"/>
  <c r="D60" i="126"/>
  <c r="C59" i="126"/>
  <c r="C58" i="126"/>
  <c r="C57" i="126"/>
  <c r="D56" i="126"/>
  <c r="C56" i="126" s="1"/>
  <c r="C55" i="126"/>
  <c r="C54" i="126"/>
  <c r="C50" i="126"/>
  <c r="C49" i="126"/>
  <c r="C48" i="126"/>
  <c r="D47" i="126"/>
  <c r="C47" i="126" s="1"/>
  <c r="C45" i="126"/>
  <c r="F44" i="126"/>
  <c r="C43" i="126"/>
  <c r="C42" i="126"/>
  <c r="C41" i="126"/>
  <c r="D40" i="126"/>
  <c r="C40" i="126" s="1"/>
  <c r="C39" i="126"/>
  <c r="C38" i="126"/>
  <c r="D37" i="126"/>
  <c r="C37" i="126" s="1"/>
  <c r="C36" i="126"/>
  <c r="C35" i="126"/>
  <c r="D34" i="126"/>
  <c r="C34" i="126" s="1"/>
  <c r="C33" i="126"/>
  <c r="C32" i="126"/>
  <c r="C31" i="126"/>
  <c r="C30" i="126"/>
  <c r="C29" i="126"/>
  <c r="C28" i="126"/>
  <c r="C27" i="126"/>
  <c r="C26" i="126"/>
  <c r="C25" i="126"/>
  <c r="C24" i="126"/>
  <c r="D23" i="126"/>
  <c r="C23" i="126" s="1"/>
  <c r="C19" i="126"/>
  <c r="C18" i="126"/>
  <c r="C17" i="126"/>
  <c r="C16" i="126"/>
  <c r="C15" i="126"/>
  <c r="C14" i="126"/>
  <c r="C13" i="126"/>
  <c r="D12" i="126"/>
  <c r="C12" i="126" s="1"/>
  <c r="C60" i="126" l="1"/>
  <c r="D22" i="126"/>
  <c r="C22" i="126" s="1"/>
  <c r="E77" i="126"/>
  <c r="C77" i="126" s="1"/>
  <c r="C86" i="126"/>
  <c r="F73" i="126"/>
  <c r="F82" i="126" s="1"/>
  <c r="F114" i="126" s="1"/>
  <c r="D51" i="126"/>
  <c r="C51" i="126" s="1"/>
  <c r="D11" i="126"/>
  <c r="C11" i="126" s="1"/>
  <c r="E64" i="126"/>
  <c r="E44" i="126" s="1"/>
  <c r="C12" i="127"/>
  <c r="D44" i="126" l="1"/>
  <c r="C44" i="126" s="1"/>
  <c r="E73" i="126"/>
  <c r="C73" i="126" s="1"/>
  <c r="D10" i="126"/>
  <c r="D83" i="126"/>
  <c r="C64" i="126"/>
  <c r="D82" i="126" l="1"/>
  <c r="D114" i="126" s="1"/>
  <c r="E82" i="126"/>
  <c r="E114" i="126" s="1"/>
  <c r="C10" i="126"/>
  <c r="C82" i="126" l="1"/>
  <c r="C114" i="126"/>
  <c r="H213" i="125"/>
  <c r="H212" i="125" s="1"/>
  <c r="J207" i="125"/>
  <c r="J123" i="97"/>
  <c r="J96" i="97"/>
  <c r="J67" i="97"/>
  <c r="J36" i="97"/>
  <c r="J110" i="97"/>
  <c r="J114" i="97"/>
  <c r="J161" i="97"/>
  <c r="J167" i="97"/>
  <c r="J57" i="97"/>
  <c r="J46" i="97"/>
  <c r="J191" i="97"/>
  <c r="J190" i="97"/>
  <c r="J185" i="97"/>
  <c r="J184" i="97"/>
  <c r="J180" i="97"/>
  <c r="J178" i="97"/>
  <c r="J171" i="97"/>
  <c r="J170" i="97"/>
  <c r="J160" i="97"/>
  <c r="J153" i="97"/>
  <c r="J121" i="97"/>
  <c r="J125" i="97"/>
  <c r="J130" i="97"/>
  <c r="J134" i="97"/>
  <c r="J138" i="97"/>
  <c r="J142" i="97"/>
  <c r="J147" i="97"/>
  <c r="J111" i="97"/>
  <c r="J104" i="97"/>
  <c r="J103" i="97"/>
  <c r="J89" i="97"/>
  <c r="J85" i="97"/>
  <c r="J66" i="97"/>
  <c r="J54" i="97"/>
  <c r="J19" i="97"/>
  <c r="J18" i="97"/>
  <c r="L194" i="125" l="1"/>
  <c r="I127" i="125"/>
  <c r="I177" i="125"/>
  <c r="I191" i="125"/>
  <c r="I188" i="125" s="1"/>
  <c r="I41" i="125"/>
  <c r="I111" i="125"/>
  <c r="I98" i="125"/>
  <c r="J56" i="97"/>
  <c r="J77" i="97"/>
  <c r="J60" i="97"/>
  <c r="J84" i="97"/>
  <c r="J120" i="97"/>
  <c r="J109" i="97"/>
  <c r="J141" i="97"/>
  <c r="J189" i="97"/>
  <c r="J183" i="97"/>
  <c r="J151" i="97"/>
  <c r="J40" i="97"/>
  <c r="J32" i="97"/>
  <c r="J21" i="97"/>
  <c r="J16" i="97"/>
  <c r="J55" i="97"/>
  <c r="J47" i="97"/>
  <c r="J42" i="97"/>
  <c r="J76" i="97"/>
  <c r="J72" i="97"/>
  <c r="J63" i="97"/>
  <c r="J59" i="97"/>
  <c r="J100" i="97"/>
  <c r="J87" i="97"/>
  <c r="J83" i="97"/>
  <c r="J127" i="97"/>
  <c r="J119" i="97"/>
  <c r="J112" i="97"/>
  <c r="J108" i="97"/>
  <c r="J156" i="97"/>
  <c r="J145" i="97"/>
  <c r="J140" i="97"/>
  <c r="J136" i="97"/>
  <c r="J188" i="97"/>
  <c r="J172" i="97"/>
  <c r="J165" i="97"/>
  <c r="J33" i="97"/>
  <c r="J17" i="97"/>
  <c r="J48" i="97"/>
  <c r="J73" i="97"/>
  <c r="J64" i="97"/>
  <c r="J88" i="97"/>
  <c r="J129" i="97"/>
  <c r="J113" i="97"/>
  <c r="J146" i="97"/>
  <c r="J137" i="97"/>
  <c r="J173" i="97"/>
  <c r="J15" i="97"/>
  <c r="J82" i="97"/>
  <c r="J75" i="97"/>
  <c r="J70" i="97"/>
  <c r="J62" i="97"/>
  <c r="J58" i="97"/>
  <c r="J86" i="97"/>
  <c r="J126" i="97"/>
  <c r="J122" i="97"/>
  <c r="J118" i="97"/>
  <c r="J139" i="97"/>
  <c r="J41" i="97"/>
  <c r="J22" i="97"/>
  <c r="J44" i="97"/>
  <c r="J68" i="97"/>
  <c r="J101" i="97"/>
  <c r="J124" i="97"/>
  <c r="J159" i="97"/>
  <c r="I211" i="125"/>
  <c r="J34" i="97"/>
  <c r="J29" i="97"/>
  <c r="J49" i="97"/>
  <c r="J45" i="97"/>
  <c r="J81" i="97"/>
  <c r="J74" i="97"/>
  <c r="J69" i="97"/>
  <c r="J65" i="97"/>
  <c r="J61" i="97"/>
  <c r="J177" i="97"/>
  <c r="I210" i="125"/>
  <c r="J206" i="125"/>
  <c r="J204" i="125"/>
  <c r="H206" i="125"/>
  <c r="H187" i="125"/>
  <c r="H178" i="125"/>
  <c r="L198" i="125" l="1"/>
  <c r="I208" i="125"/>
  <c r="I207" i="125" s="1"/>
  <c r="I114" i="125"/>
  <c r="I137" i="125"/>
  <c r="G191" i="125"/>
  <c r="I154" i="125"/>
  <c r="I90" i="125"/>
  <c r="J202" i="125"/>
  <c r="J201" i="125" s="1"/>
  <c r="G188" i="125" l="1"/>
  <c r="G187" i="125" s="1"/>
  <c r="I187" i="125"/>
  <c r="O150" i="97"/>
  <c r="F168" i="97"/>
  <c r="G168" i="97"/>
  <c r="H168" i="97"/>
  <c r="I168" i="97"/>
  <c r="K168" i="97"/>
  <c r="L168" i="97"/>
  <c r="M168" i="97"/>
  <c r="N168" i="97"/>
  <c r="H192" i="125"/>
  <c r="I192" i="125"/>
  <c r="J192" i="125"/>
  <c r="M197" i="125"/>
  <c r="M195" i="125"/>
  <c r="L195" i="125"/>
  <c r="G196" i="125"/>
  <c r="G197" i="125"/>
  <c r="G194" i="125"/>
  <c r="L197" i="125"/>
  <c r="F132" i="97"/>
  <c r="H132" i="97"/>
  <c r="I132" i="97"/>
  <c r="L132" i="97"/>
  <c r="M132" i="97"/>
  <c r="N132" i="97"/>
  <c r="E151" i="97"/>
  <c r="E104" i="97"/>
  <c r="I17" i="125"/>
  <c r="J17" i="125"/>
  <c r="M17" i="125" s="1"/>
  <c r="G16" i="125"/>
  <c r="J15" i="125"/>
  <c r="M15" i="125" s="1"/>
  <c r="I187" i="98"/>
  <c r="J213" i="125"/>
  <c r="J212" i="125" s="1"/>
  <c r="I13" i="97"/>
  <c r="K13" i="97"/>
  <c r="L13" i="97"/>
  <c r="M13" i="97"/>
  <c r="N13" i="97"/>
  <c r="I15" i="125"/>
  <c r="L15" i="125" s="1"/>
  <c r="E89" i="97"/>
  <c r="E177" i="97"/>
  <c r="E134" i="97"/>
  <c r="E188" i="97"/>
  <c r="E165" i="97"/>
  <c r="J161" i="125"/>
  <c r="J162" i="125"/>
  <c r="J156" i="125"/>
  <c r="J157" i="125"/>
  <c r="J159" i="125"/>
  <c r="J152" i="125"/>
  <c r="J153" i="125"/>
  <c r="J151" i="125"/>
  <c r="J147" i="125"/>
  <c r="I176" i="125"/>
  <c r="G176" i="125" s="1"/>
  <c r="G193" i="125" l="1"/>
  <c r="G192" i="125" s="1"/>
  <c r="H98" i="125"/>
  <c r="G98" i="125" s="1"/>
  <c r="G13" i="125"/>
  <c r="I12" i="125"/>
  <c r="I11" i="125" s="1"/>
  <c r="J12" i="125"/>
  <c r="J11" i="125" s="1"/>
  <c r="J187" i="125"/>
  <c r="J169" i="97"/>
  <c r="J168" i="97" s="1"/>
  <c r="J14" i="97"/>
  <c r="J13" i="97" s="1"/>
  <c r="G214" i="125"/>
  <c r="G213" i="125" s="1"/>
  <c r="G212" i="125" s="1"/>
  <c r="I213" i="125"/>
  <c r="I212" i="125" s="1"/>
  <c r="I186" i="98"/>
  <c r="M192" i="125"/>
  <c r="J175" i="125"/>
  <c r="P151" i="97"/>
  <c r="P104" i="97"/>
  <c r="L17" i="125"/>
  <c r="P188" i="97"/>
  <c r="P89" i="97"/>
  <c r="P177" i="97"/>
  <c r="P134" i="97"/>
  <c r="P165" i="97"/>
  <c r="P183" i="97"/>
  <c r="P156" i="97"/>
  <c r="J150" i="97" l="1"/>
  <c r="Q104" i="97"/>
  <c r="Q151" i="97"/>
  <c r="I162" i="125"/>
  <c r="E146" i="97"/>
  <c r="H162" i="125" l="1"/>
  <c r="G162" i="125" s="1"/>
  <c r="J163" i="125"/>
  <c r="J144" i="125" s="1"/>
  <c r="P146" i="97"/>
  <c r="O99" i="97"/>
  <c r="I37" i="98"/>
  <c r="O43" i="97"/>
  <c r="O39" i="97" l="1"/>
  <c r="J39" i="97" s="1"/>
  <c r="R43" i="97"/>
  <c r="I32" i="98"/>
  <c r="J143" i="125"/>
  <c r="E40" i="97"/>
  <c r="E54" i="97"/>
  <c r="O38" i="97" l="1"/>
  <c r="J99" i="97"/>
  <c r="J43" i="97"/>
  <c r="P40" i="97"/>
  <c r="P54" i="97"/>
  <c r="E145" i="97"/>
  <c r="I161" i="125"/>
  <c r="H161" i="125" l="1"/>
  <c r="G161" i="125" s="1"/>
  <c r="P145" i="97"/>
  <c r="J49" i="125" l="1"/>
  <c r="G50" i="125"/>
  <c r="J99" i="125"/>
  <c r="I99" i="125"/>
  <c r="I93" i="125"/>
  <c r="J93" i="125"/>
  <c r="I94" i="125"/>
  <c r="J94" i="125"/>
  <c r="I88" i="125"/>
  <c r="J88" i="125"/>
  <c r="I83" i="125"/>
  <c r="J83" i="125"/>
  <c r="I84" i="125"/>
  <c r="J84" i="125"/>
  <c r="I82" i="125"/>
  <c r="J82" i="125"/>
  <c r="I79" i="125"/>
  <c r="J79" i="125"/>
  <c r="I80" i="125"/>
  <c r="J80" i="125"/>
  <c r="I81" i="125"/>
  <c r="J81" i="125"/>
  <c r="I72" i="125"/>
  <c r="J72" i="125"/>
  <c r="I73" i="125"/>
  <c r="J73" i="125"/>
  <c r="I74" i="125"/>
  <c r="J74" i="125"/>
  <c r="I75" i="125"/>
  <c r="J75" i="125"/>
  <c r="I76" i="125"/>
  <c r="J76" i="125"/>
  <c r="I77" i="125"/>
  <c r="J77" i="125"/>
  <c r="J71" i="125"/>
  <c r="I71" i="125"/>
  <c r="I63" i="125"/>
  <c r="J63" i="125"/>
  <c r="I64" i="125"/>
  <c r="J64" i="125"/>
  <c r="I65" i="125"/>
  <c r="J65" i="125"/>
  <c r="J62" i="125"/>
  <c r="E103" i="97"/>
  <c r="J39" i="125"/>
  <c r="J38" i="125"/>
  <c r="J37" i="125"/>
  <c r="J36" i="125"/>
  <c r="J32" i="125"/>
  <c r="I26" i="97"/>
  <c r="I25" i="97" s="1"/>
  <c r="L25" i="97"/>
  <c r="M26" i="97"/>
  <c r="M25" i="97" s="1"/>
  <c r="N26" i="97"/>
  <c r="N25" i="97" s="1"/>
  <c r="F154" i="97"/>
  <c r="G154" i="97"/>
  <c r="H154" i="97"/>
  <c r="I154" i="97"/>
  <c r="K154" i="97"/>
  <c r="L154" i="97"/>
  <c r="M154" i="97"/>
  <c r="N154" i="97"/>
  <c r="R30" i="97" l="1"/>
  <c r="I16" i="98"/>
  <c r="G117" i="97"/>
  <c r="K26" i="97"/>
  <c r="G41" i="125"/>
  <c r="J28" i="125"/>
  <c r="J155" i="97"/>
  <c r="J154" i="97" s="1"/>
  <c r="H26" i="97"/>
  <c r="H25" i="97" s="1"/>
  <c r="F26" i="97"/>
  <c r="F25" i="97" s="1"/>
  <c r="P36" i="97"/>
  <c r="I32" i="125"/>
  <c r="I36" i="125"/>
  <c r="I37" i="125"/>
  <c r="I38" i="125"/>
  <c r="I39" i="125"/>
  <c r="J55" i="125"/>
  <c r="J54" i="125"/>
  <c r="J51" i="125"/>
  <c r="J48" i="125"/>
  <c r="J47" i="125"/>
  <c r="J45" i="125"/>
  <c r="J118" i="125"/>
  <c r="G119" i="125"/>
  <c r="J116" i="125"/>
  <c r="G117" i="125"/>
  <c r="K38" i="97"/>
  <c r="I45" i="125"/>
  <c r="F38" i="97"/>
  <c r="G38" i="97"/>
  <c r="H38" i="97"/>
  <c r="I38" i="97"/>
  <c r="L38" i="97"/>
  <c r="M38" i="97"/>
  <c r="N38" i="97"/>
  <c r="I31" i="98"/>
  <c r="I47" i="125"/>
  <c r="I49" i="125"/>
  <c r="I51" i="125"/>
  <c r="I54" i="125"/>
  <c r="I55" i="125"/>
  <c r="O26" i="97" l="1"/>
  <c r="J26" i="97" s="1"/>
  <c r="J25" i="97" s="1"/>
  <c r="J44" i="125"/>
  <c r="J43" i="125" s="1"/>
  <c r="R26" i="97"/>
  <c r="J27" i="125"/>
  <c r="J26" i="125" s="1"/>
  <c r="J30" i="97"/>
  <c r="J27" i="97"/>
  <c r="J28" i="97"/>
  <c r="K25" i="97"/>
  <c r="I48" i="125"/>
  <c r="F187" i="97"/>
  <c r="F186" i="97" s="1"/>
  <c r="G187" i="97"/>
  <c r="G186" i="97" s="1"/>
  <c r="H187" i="97"/>
  <c r="H186" i="97" s="1"/>
  <c r="I187" i="97"/>
  <c r="I186" i="97" s="1"/>
  <c r="L187" i="97"/>
  <c r="L186" i="97" s="1"/>
  <c r="M187" i="97"/>
  <c r="M186" i="97" s="1"/>
  <c r="N187" i="97"/>
  <c r="N186" i="97" s="1"/>
  <c r="O25" i="97" l="1"/>
  <c r="I29" i="125"/>
  <c r="I34" i="125"/>
  <c r="I44" i="125"/>
  <c r="I43" i="125" s="1"/>
  <c r="M26" i="125"/>
  <c r="J38" i="97"/>
  <c r="I28" i="125"/>
  <c r="J187" i="97"/>
  <c r="J186" i="97" s="1"/>
  <c r="R187" i="97"/>
  <c r="M43" i="125"/>
  <c r="I27" i="125" l="1"/>
  <c r="I26" i="125" s="1"/>
  <c r="L26" i="125" s="1"/>
  <c r="F182" i="97"/>
  <c r="F181" i="97" s="1"/>
  <c r="G182" i="97"/>
  <c r="G181" i="97" s="1"/>
  <c r="H182" i="97"/>
  <c r="H181" i="97" s="1"/>
  <c r="I182" i="97"/>
  <c r="I181" i="97" s="1"/>
  <c r="K182" i="97"/>
  <c r="L182" i="97"/>
  <c r="L181" i="97" s="1"/>
  <c r="M182" i="97"/>
  <c r="M181" i="97" s="1"/>
  <c r="N182" i="97"/>
  <c r="N181" i="97" s="1"/>
  <c r="E185" i="97"/>
  <c r="E184" i="97"/>
  <c r="F176" i="97"/>
  <c r="F175" i="97" s="1"/>
  <c r="G176" i="97"/>
  <c r="G175" i="97" s="1"/>
  <c r="H176" i="97"/>
  <c r="H175" i="97" s="1"/>
  <c r="I176" i="97"/>
  <c r="I175" i="97" s="1"/>
  <c r="K176" i="97"/>
  <c r="L176" i="97"/>
  <c r="L175" i="97" s="1"/>
  <c r="M176" i="97"/>
  <c r="M175" i="97" s="1"/>
  <c r="N176" i="97"/>
  <c r="N175" i="97" s="1"/>
  <c r="I204" i="125"/>
  <c r="E178" i="97"/>
  <c r="F164" i="97"/>
  <c r="F163" i="97" s="1"/>
  <c r="G164" i="97"/>
  <c r="G163" i="97" s="1"/>
  <c r="H164" i="97"/>
  <c r="H163" i="97" s="1"/>
  <c r="I164" i="97"/>
  <c r="I163" i="97" s="1"/>
  <c r="K164" i="97"/>
  <c r="M188" i="125" s="1"/>
  <c r="L164" i="97"/>
  <c r="L163" i="97" s="1"/>
  <c r="M164" i="97"/>
  <c r="M163" i="97" s="1"/>
  <c r="N164" i="97"/>
  <c r="N163" i="97" s="1"/>
  <c r="E167" i="97"/>
  <c r="E164" i="97" l="1"/>
  <c r="K175" i="97"/>
  <c r="M201" i="125"/>
  <c r="K181" i="97"/>
  <c r="M207" i="125"/>
  <c r="K163" i="97"/>
  <c r="H210" i="125"/>
  <c r="H211" i="125"/>
  <c r="G211" i="125" s="1"/>
  <c r="J176" i="97"/>
  <c r="J164" i="97"/>
  <c r="J182" i="97"/>
  <c r="P180" i="97"/>
  <c r="I206" i="125"/>
  <c r="G206" i="125" s="1"/>
  <c r="E176" i="97"/>
  <c r="E175" i="97" s="1"/>
  <c r="H204" i="125"/>
  <c r="H202" i="125" s="1"/>
  <c r="E182" i="97"/>
  <c r="E181" i="97" s="1"/>
  <c r="P178" i="97"/>
  <c r="P185" i="97"/>
  <c r="P184" i="97"/>
  <c r="P167" i="97"/>
  <c r="J181" i="97" l="1"/>
  <c r="L207" i="125"/>
  <c r="J163" i="97"/>
  <c r="L188" i="125"/>
  <c r="H208" i="125"/>
  <c r="H207" i="125" s="1"/>
  <c r="K207" i="125" s="1"/>
  <c r="I202" i="125"/>
  <c r="I201" i="125" s="1"/>
  <c r="L201" i="125" s="1"/>
  <c r="E163" i="97"/>
  <c r="K188" i="125"/>
  <c r="J175" i="97"/>
  <c r="G16" i="116" s="1"/>
  <c r="R176" i="97"/>
  <c r="G210" i="125"/>
  <c r="G208" i="125" s="1"/>
  <c r="H201" i="125"/>
  <c r="K201" i="125" s="1"/>
  <c r="G204" i="125"/>
  <c r="E141" i="97"/>
  <c r="I156" i="125"/>
  <c r="I151" i="125"/>
  <c r="I152" i="125"/>
  <c r="I153" i="125"/>
  <c r="I157" i="125"/>
  <c r="I159" i="125"/>
  <c r="I163" i="125"/>
  <c r="I175" i="125"/>
  <c r="G132" i="97"/>
  <c r="E153" i="97"/>
  <c r="E150" i="97"/>
  <c r="E149" i="97"/>
  <c r="E147" i="97"/>
  <c r="E143" i="97"/>
  <c r="E142" i="97"/>
  <c r="E140" i="97"/>
  <c r="E139" i="97"/>
  <c r="E138" i="97"/>
  <c r="E137" i="97"/>
  <c r="E136" i="97"/>
  <c r="E133" i="97" l="1"/>
  <c r="H177" i="125"/>
  <c r="G177" i="125" s="1"/>
  <c r="H154" i="125"/>
  <c r="G154" i="125" s="1"/>
  <c r="G202" i="125"/>
  <c r="G201" i="125" s="1"/>
  <c r="O149" i="97"/>
  <c r="K133" i="97"/>
  <c r="H151" i="125"/>
  <c r="G151" i="125" s="1"/>
  <c r="H157" i="125"/>
  <c r="G157" i="125" s="1"/>
  <c r="H165" i="125"/>
  <c r="G165" i="125" s="1"/>
  <c r="H152" i="125"/>
  <c r="G152" i="125" s="1"/>
  <c r="H159" i="125"/>
  <c r="G159" i="125" s="1"/>
  <c r="H175" i="125"/>
  <c r="G175" i="125" s="1"/>
  <c r="H156" i="125"/>
  <c r="G156" i="125" s="1"/>
  <c r="H153" i="125"/>
  <c r="G153" i="125" s="1"/>
  <c r="H163" i="125"/>
  <c r="G163" i="125" s="1"/>
  <c r="I147" i="125"/>
  <c r="I144" i="125" s="1"/>
  <c r="H147" i="125"/>
  <c r="P150" i="97"/>
  <c r="P138" i="97"/>
  <c r="P137" i="97"/>
  <c r="P142" i="97"/>
  <c r="P153" i="97"/>
  <c r="P141" i="97"/>
  <c r="P147" i="97"/>
  <c r="P139" i="97"/>
  <c r="P143" i="97"/>
  <c r="P136" i="97"/>
  <c r="P140" i="97"/>
  <c r="E132" i="97" l="1"/>
  <c r="O133" i="97"/>
  <c r="O132" i="97" s="1"/>
  <c r="H144" i="125"/>
  <c r="H143" i="125" s="1"/>
  <c r="I143" i="125"/>
  <c r="M143" i="125"/>
  <c r="R133" i="97"/>
  <c r="J149" i="97"/>
  <c r="K132" i="97"/>
  <c r="G147" i="125"/>
  <c r="G144" i="125" s="1"/>
  <c r="J105" i="125"/>
  <c r="J141" i="125"/>
  <c r="I141" i="125"/>
  <c r="H141" i="125"/>
  <c r="J139" i="125"/>
  <c r="J134" i="125"/>
  <c r="J133" i="125"/>
  <c r="J132" i="125"/>
  <c r="J131" i="125"/>
  <c r="J130" i="125"/>
  <c r="J129" i="125"/>
  <c r="J126" i="125"/>
  <c r="J125" i="125"/>
  <c r="J124" i="125"/>
  <c r="I125" i="125"/>
  <c r="I126" i="125"/>
  <c r="I129" i="125"/>
  <c r="I130" i="125"/>
  <c r="I131" i="125"/>
  <c r="I132" i="125"/>
  <c r="I133" i="125"/>
  <c r="I134" i="125"/>
  <c r="I139" i="125"/>
  <c r="I124" i="125"/>
  <c r="G116" i="97"/>
  <c r="H116" i="97"/>
  <c r="I116" i="97"/>
  <c r="K116" i="97"/>
  <c r="L116" i="97"/>
  <c r="M116" i="97"/>
  <c r="N116" i="97"/>
  <c r="J106" i="125"/>
  <c r="H106" i="125"/>
  <c r="J95" i="125"/>
  <c r="I95" i="125"/>
  <c r="G96" i="125"/>
  <c r="J92" i="125"/>
  <c r="I92" i="125"/>
  <c r="J66" i="125"/>
  <c r="J67" i="125"/>
  <c r="I67" i="125"/>
  <c r="J69" i="125"/>
  <c r="I69" i="125"/>
  <c r="J68" i="125"/>
  <c r="I68" i="125"/>
  <c r="J70" i="125"/>
  <c r="I70" i="125"/>
  <c r="I97" i="125"/>
  <c r="J97" i="125"/>
  <c r="J103" i="125"/>
  <c r="G104" i="125"/>
  <c r="J102" i="125"/>
  <c r="J89" i="125"/>
  <c r="I66" i="125"/>
  <c r="I105" i="125"/>
  <c r="I106" i="125"/>
  <c r="I89" i="125"/>
  <c r="I102" i="125"/>
  <c r="I62" i="125"/>
  <c r="K11" i="107"/>
  <c r="K10" i="107" s="1"/>
  <c r="L11" i="107"/>
  <c r="L10" i="107" s="1"/>
  <c r="J11" i="107"/>
  <c r="J10" i="107" s="1"/>
  <c r="G11" i="107"/>
  <c r="G10" i="107" s="1"/>
  <c r="H11" i="107"/>
  <c r="H10" i="107" s="1"/>
  <c r="F11" i="107"/>
  <c r="O13" i="107"/>
  <c r="O12" i="107"/>
  <c r="N12" i="107"/>
  <c r="M12" i="107"/>
  <c r="I12" i="107"/>
  <c r="I11" i="107" s="1"/>
  <c r="G120" i="125"/>
  <c r="J110" i="125"/>
  <c r="J113" i="125"/>
  <c r="J109" i="125"/>
  <c r="I118" i="125"/>
  <c r="K106" i="97"/>
  <c r="L106" i="97"/>
  <c r="M106" i="97"/>
  <c r="N106" i="97"/>
  <c r="I110" i="125"/>
  <c r="I113" i="125"/>
  <c r="I116" i="125"/>
  <c r="I109" i="125"/>
  <c r="G106" i="97"/>
  <c r="H106" i="97"/>
  <c r="J60" i="125" l="1"/>
  <c r="J59" i="125" s="1"/>
  <c r="K143" i="125"/>
  <c r="J133" i="97"/>
  <c r="P133" i="97" s="1"/>
  <c r="P132" i="97" s="1"/>
  <c r="P149" i="97"/>
  <c r="I108" i="125"/>
  <c r="I107" i="125" s="1"/>
  <c r="J108" i="125"/>
  <c r="J107" i="125" s="1"/>
  <c r="M107" i="125" s="1"/>
  <c r="G143" i="125"/>
  <c r="E107" i="97"/>
  <c r="E106" i="97" s="1"/>
  <c r="F106" i="97"/>
  <c r="P11" i="107"/>
  <c r="P10" i="107" s="1"/>
  <c r="P14" i="107" s="1"/>
  <c r="J117" i="97"/>
  <c r="J116" i="97" s="1"/>
  <c r="J107" i="97"/>
  <c r="J106" i="97" s="1"/>
  <c r="O11" i="107"/>
  <c r="O10" i="107" s="1"/>
  <c r="O14" i="107" s="1"/>
  <c r="I10" i="107"/>
  <c r="Q12" i="107"/>
  <c r="I103" i="125"/>
  <c r="I123" i="125"/>
  <c r="I122" i="125" s="1"/>
  <c r="J123" i="125"/>
  <c r="J122" i="125" s="1"/>
  <c r="M122" i="125" s="1"/>
  <c r="P103" i="97"/>
  <c r="G141" i="125"/>
  <c r="R117" i="97"/>
  <c r="G106" i="125"/>
  <c r="R107" i="97"/>
  <c r="I185" i="125"/>
  <c r="I184" i="125"/>
  <c r="I183" i="125"/>
  <c r="J132" i="97" l="1"/>
  <c r="Q133" i="97"/>
  <c r="L143" i="125"/>
  <c r="I179" i="125"/>
  <c r="L179" i="125" s="1"/>
  <c r="L122" i="125"/>
  <c r="P107" i="97"/>
  <c r="G183" i="125"/>
  <c r="J184" i="125"/>
  <c r="G184" i="125"/>
  <c r="J185" i="125"/>
  <c r="G185" i="125"/>
  <c r="L107" i="125"/>
  <c r="J183" i="125"/>
  <c r="I178" i="125" l="1"/>
  <c r="G179" i="125"/>
  <c r="G178" i="125" s="1"/>
  <c r="J179" i="125"/>
  <c r="M179" i="125" s="1"/>
  <c r="J178" i="125" l="1"/>
  <c r="I6" i="98" l="1"/>
  <c r="I179" i="98"/>
  <c r="I178" i="98" s="1"/>
  <c r="I166" i="98"/>
  <c r="I165" i="98" s="1"/>
  <c r="I141" i="98"/>
  <c r="I72" i="98"/>
  <c r="I63" i="98"/>
  <c r="I15" i="98"/>
  <c r="R182" i="97" l="1"/>
  <c r="R155" i="97"/>
  <c r="R14" i="97"/>
  <c r="R39" i="97"/>
  <c r="I171" i="98"/>
  <c r="R169" i="97"/>
  <c r="I44" i="98"/>
  <c r="I82" i="98"/>
  <c r="I164" i="98" l="1"/>
  <c r="I189" i="98" s="1"/>
  <c r="R164" i="97"/>
  <c r="J215" i="125" l="1"/>
  <c r="F131" i="97" l="1"/>
  <c r="F117" i="97" l="1"/>
  <c r="F116" i="97" s="1"/>
  <c r="E131" i="97"/>
  <c r="H140" i="125" l="1"/>
  <c r="G140" i="125" s="1"/>
  <c r="P131" i="97"/>
  <c r="E74" i="97" l="1"/>
  <c r="E101" i="97"/>
  <c r="H105" i="125" l="1"/>
  <c r="G105" i="125" s="1"/>
  <c r="H81" i="125"/>
  <c r="G81" i="125" s="1"/>
  <c r="P74" i="97"/>
  <c r="P101" i="97" l="1"/>
  <c r="E47" i="97" l="1"/>
  <c r="E46" i="97"/>
  <c r="H52" i="125" l="1"/>
  <c r="G52" i="125" s="1"/>
  <c r="H53" i="125"/>
  <c r="G53" i="125" s="1"/>
  <c r="E121" i="97"/>
  <c r="H127" i="125" l="1"/>
  <c r="G127" i="125" s="1"/>
  <c r="P46" i="97"/>
  <c r="P47" i="97"/>
  <c r="P121" i="97"/>
  <c r="E87" i="97" l="1"/>
  <c r="H95" i="125" l="1"/>
  <c r="G95" i="125" s="1"/>
  <c r="E76" i="97"/>
  <c r="E73" i="97"/>
  <c r="E77" i="97"/>
  <c r="H83" i="125" l="1"/>
  <c r="G83" i="125" s="1"/>
  <c r="H80" i="125"/>
  <c r="G80" i="125" s="1"/>
  <c r="H84" i="125"/>
  <c r="G84" i="125" s="1"/>
  <c r="E75" i="97"/>
  <c r="P77" i="97"/>
  <c r="P76" i="97"/>
  <c r="H82" i="125" l="1"/>
  <c r="G82" i="125" s="1"/>
  <c r="P73" i="97"/>
  <c r="P75" i="97"/>
  <c r="E130" i="97" l="1"/>
  <c r="H139" i="125" l="1"/>
  <c r="G139" i="125" s="1"/>
  <c r="P130" i="97"/>
  <c r="E114" i="97" l="1"/>
  <c r="E113" i="97"/>
  <c r="E100" i="97"/>
  <c r="E99" i="97"/>
  <c r="E49" i="97"/>
  <c r="E33" i="97"/>
  <c r="H55" i="125" l="1"/>
  <c r="G55" i="125" s="1"/>
  <c r="H38" i="125"/>
  <c r="G38" i="125" s="1"/>
  <c r="H103" i="125"/>
  <c r="H102" i="125"/>
  <c r="G102" i="125" s="1"/>
  <c r="H39" i="125"/>
  <c r="G39" i="125" s="1"/>
  <c r="H116" i="125"/>
  <c r="G116" i="125" s="1"/>
  <c r="H118" i="125"/>
  <c r="G118" i="125" s="1"/>
  <c r="E48" i="97"/>
  <c r="P34" i="97"/>
  <c r="G103" i="125" l="1"/>
  <c r="H54" i="125"/>
  <c r="G54" i="125" s="1"/>
  <c r="P113" i="97"/>
  <c r="P99" i="97"/>
  <c r="P114" i="97"/>
  <c r="P49" i="97"/>
  <c r="P48" i="97"/>
  <c r="P100" i="97"/>
  <c r="P33" i="97"/>
  <c r="E161" i="97" l="1"/>
  <c r="E160" i="97"/>
  <c r="E159" i="97"/>
  <c r="E155" i="97" l="1"/>
  <c r="K179" i="125" s="1"/>
  <c r="P160" i="97"/>
  <c r="P161" i="97"/>
  <c r="P159" i="97"/>
  <c r="E18" i="97"/>
  <c r="P155" i="97" l="1"/>
  <c r="Q155" i="97" s="1"/>
  <c r="E154" i="97"/>
  <c r="P18" i="97"/>
  <c r="E171" i="97" l="1"/>
  <c r="E172" i="97"/>
  <c r="E173" i="97"/>
  <c r="K195" i="125" l="1"/>
  <c r="K198" i="125"/>
  <c r="K197" i="125"/>
  <c r="P173" i="97"/>
  <c r="P172" i="97"/>
  <c r="P171" i="97"/>
  <c r="E19" i="97" l="1"/>
  <c r="P19" i="97" l="1"/>
  <c r="Q19" i="97" l="1"/>
  <c r="E45" i="97"/>
  <c r="H51" i="125" l="1"/>
  <c r="G51" i="125" s="1"/>
  <c r="P45" i="97"/>
  <c r="E189" i="97" l="1"/>
  <c r="E119" i="97" l="1"/>
  <c r="E96" i="97"/>
  <c r="H99" i="125" l="1"/>
  <c r="G99" i="125" s="1"/>
  <c r="H125" i="125"/>
  <c r="G125" i="125" s="1"/>
  <c r="E170" i="97"/>
  <c r="E169" i="97" s="1"/>
  <c r="K194" i="125" l="1"/>
  <c r="P170" i="97"/>
  <c r="K192" i="125" l="1"/>
  <c r="E168" i="97"/>
  <c r="N13" i="107"/>
  <c r="E44" i="97" l="1"/>
  <c r="H49" i="125" l="1"/>
  <c r="G49" i="125" s="1"/>
  <c r="N11" i="107"/>
  <c r="N10" i="107" s="1"/>
  <c r="N14" i="107" s="1"/>
  <c r="F10" i="107"/>
  <c r="F14" i="107" s="1"/>
  <c r="E111" i="97" l="1"/>
  <c r="E29" i="108"/>
  <c r="E15" i="108"/>
  <c r="L14" i="107"/>
  <c r="J14" i="107"/>
  <c r="H14" i="107"/>
  <c r="E16" i="97"/>
  <c r="E15" i="97"/>
  <c r="E27" i="97"/>
  <c r="E32" i="97"/>
  <c r="E29" i="97"/>
  <c r="E30" i="97"/>
  <c r="E88" i="97"/>
  <c r="E43" i="97"/>
  <c r="E42" i="97"/>
  <c r="E41" i="97"/>
  <c r="E127" i="97"/>
  <c r="E126" i="97"/>
  <c r="E124" i="97"/>
  <c r="E123" i="97"/>
  <c r="E122" i="97"/>
  <c r="E120" i="97"/>
  <c r="E22" i="97"/>
  <c r="E56" i="97"/>
  <c r="E55" i="97"/>
  <c r="E66" i="97"/>
  <c r="E31" i="97"/>
  <c r="E63" i="97"/>
  <c r="E57" i="97"/>
  <c r="E61" i="97"/>
  <c r="E60" i="97"/>
  <c r="E59" i="97"/>
  <c r="E64" i="97"/>
  <c r="E70" i="97"/>
  <c r="E65" i="97"/>
  <c r="E69" i="97"/>
  <c r="E68" i="97"/>
  <c r="E67" i="97"/>
  <c r="E82" i="97"/>
  <c r="E58" i="97"/>
  <c r="E118" i="97"/>
  <c r="E83" i="97"/>
  <c r="E17" i="108" l="1"/>
  <c r="F29" i="108" s="1"/>
  <c r="H134" i="125"/>
  <c r="G134" i="125" s="1"/>
  <c r="H45" i="125"/>
  <c r="G45" i="125" s="1"/>
  <c r="H34" i="125"/>
  <c r="G34" i="125" s="1"/>
  <c r="H90" i="125"/>
  <c r="G90" i="125" s="1"/>
  <c r="E39" i="97"/>
  <c r="P39" i="97" s="1"/>
  <c r="G29" i="108"/>
  <c r="G18" i="108" s="1"/>
  <c r="H89" i="125"/>
  <c r="G89" i="125" s="1"/>
  <c r="H63" i="125"/>
  <c r="G63" i="125" s="1"/>
  <c r="H77" i="125"/>
  <c r="G77" i="125" s="1"/>
  <c r="H68" i="125"/>
  <c r="G68" i="125" s="1"/>
  <c r="H36" i="125"/>
  <c r="G36" i="125" s="1"/>
  <c r="H131" i="125"/>
  <c r="G131" i="125" s="1"/>
  <c r="H32" i="125"/>
  <c r="G32" i="125" s="1"/>
  <c r="H72" i="125"/>
  <c r="G72" i="125" s="1"/>
  <c r="H67" i="125"/>
  <c r="G67" i="125" s="1"/>
  <c r="H130" i="125"/>
  <c r="G130" i="125" s="1"/>
  <c r="H124" i="125"/>
  <c r="H75" i="125"/>
  <c r="G75" i="125" s="1"/>
  <c r="H64" i="125"/>
  <c r="G64" i="125" s="1"/>
  <c r="H126" i="125"/>
  <c r="G126" i="125" s="1"/>
  <c r="H133" i="125"/>
  <c r="G133" i="125" s="1"/>
  <c r="H48" i="125"/>
  <c r="G48" i="125" s="1"/>
  <c r="H37" i="125"/>
  <c r="G37" i="125" s="1"/>
  <c r="H74" i="125"/>
  <c r="G74" i="125" s="1"/>
  <c r="H71" i="125"/>
  <c r="G71" i="125" s="1"/>
  <c r="H65" i="125"/>
  <c r="G65" i="125" s="1"/>
  <c r="H76" i="125"/>
  <c r="G76" i="125" s="1"/>
  <c r="H66" i="125"/>
  <c r="G66" i="125" s="1"/>
  <c r="H70" i="125"/>
  <c r="G70" i="125" s="1"/>
  <c r="H129" i="125"/>
  <c r="G129" i="125" s="1"/>
  <c r="H97" i="125"/>
  <c r="G97" i="125" s="1"/>
  <c r="H113" i="125"/>
  <c r="G113" i="125" s="1"/>
  <c r="H73" i="125"/>
  <c r="G73" i="125" s="1"/>
  <c r="H62" i="125"/>
  <c r="H47" i="125"/>
  <c r="G47" i="125" s="1"/>
  <c r="H28" i="125"/>
  <c r="G28" i="125" s="1"/>
  <c r="E110" i="97"/>
  <c r="E191" i="97"/>
  <c r="E81" i="97"/>
  <c r="E86" i="97"/>
  <c r="E108" i="97"/>
  <c r="E72" i="97"/>
  <c r="E85" i="97"/>
  <c r="E112" i="97"/>
  <c r="M13" i="107"/>
  <c r="K14" i="107"/>
  <c r="E190" i="97"/>
  <c r="E17" i="97"/>
  <c r="P22" i="97"/>
  <c r="E21" i="97"/>
  <c r="E129" i="97"/>
  <c r="E125" i="97"/>
  <c r="E109" i="97"/>
  <c r="G13" i="97"/>
  <c r="E62" i="97"/>
  <c r="E28" i="97"/>
  <c r="G62" i="125" l="1"/>
  <c r="H137" i="125"/>
  <c r="G137" i="125" s="1"/>
  <c r="H111" i="125"/>
  <c r="G111" i="125" s="1"/>
  <c r="E14" i="97"/>
  <c r="E13" i="97" s="1"/>
  <c r="H114" i="125"/>
  <c r="G114" i="125" s="1"/>
  <c r="P86" i="97"/>
  <c r="E117" i="97"/>
  <c r="H44" i="125"/>
  <c r="H43" i="125" s="1"/>
  <c r="P38" i="97"/>
  <c r="E26" i="97"/>
  <c r="H29" i="125"/>
  <c r="G29" i="125" s="1"/>
  <c r="G124" i="125"/>
  <c r="H93" i="125"/>
  <c r="G93" i="125" s="1"/>
  <c r="H17" i="125"/>
  <c r="H79" i="125"/>
  <c r="G79" i="125" s="1"/>
  <c r="H69" i="125"/>
  <c r="G69" i="125" s="1"/>
  <c r="H88" i="125"/>
  <c r="G88" i="125" s="1"/>
  <c r="H110" i="125"/>
  <c r="G110" i="125" s="1"/>
  <c r="H109" i="125"/>
  <c r="H15" i="125"/>
  <c r="H94" i="125"/>
  <c r="G94" i="125" s="1"/>
  <c r="E38" i="97"/>
  <c r="E187" i="97"/>
  <c r="E186" i="97" s="1"/>
  <c r="Q13" i="107"/>
  <c r="M11" i="107"/>
  <c r="G44" i="125"/>
  <c r="H132" i="125"/>
  <c r="P56" i="97"/>
  <c r="P15" i="97"/>
  <c r="P126" i="97"/>
  <c r="P57" i="97"/>
  <c r="P59" i="97"/>
  <c r="P55" i="97"/>
  <c r="E84" i="97"/>
  <c r="P58" i="97"/>
  <c r="P96" i="97"/>
  <c r="P191" i="97"/>
  <c r="P63" i="97"/>
  <c r="P83" i="97"/>
  <c r="P60" i="97"/>
  <c r="P61" i="97"/>
  <c r="P41" i="97"/>
  <c r="P189" i="97"/>
  <c r="P43" i="97"/>
  <c r="P67" i="97"/>
  <c r="P111" i="97"/>
  <c r="P16" i="97"/>
  <c r="P64" i="97"/>
  <c r="P70" i="97"/>
  <c r="P122" i="97"/>
  <c r="P29" i="97"/>
  <c r="P120" i="97"/>
  <c r="P66" i="97"/>
  <c r="P88" i="97"/>
  <c r="P129" i="97"/>
  <c r="P119" i="97"/>
  <c r="P31" i="97"/>
  <c r="P30" i="97"/>
  <c r="P81" i="97"/>
  <c r="P69" i="97"/>
  <c r="P42" i="97"/>
  <c r="P65" i="97"/>
  <c r="P118" i="97"/>
  <c r="P72" i="97"/>
  <c r="P68" i="97"/>
  <c r="P85" i="97"/>
  <c r="P190" i="97"/>
  <c r="P127" i="97"/>
  <c r="P123" i="97"/>
  <c r="P32" i="97"/>
  <c r="P62" i="97"/>
  <c r="P27" i="97"/>
  <c r="P82" i="97"/>
  <c r="P109" i="97"/>
  <c r="P28" i="97"/>
  <c r="H12" i="125" l="1"/>
  <c r="H11" i="125" s="1"/>
  <c r="G15" i="125"/>
  <c r="G17" i="125"/>
  <c r="K17" i="125"/>
  <c r="G109" i="125"/>
  <c r="G108" i="125" s="1"/>
  <c r="G107" i="125" s="1"/>
  <c r="H108" i="125"/>
  <c r="H107" i="125" s="1"/>
  <c r="K107" i="125" s="1"/>
  <c r="H123" i="125"/>
  <c r="H122" i="125" s="1"/>
  <c r="K122" i="125" s="1"/>
  <c r="G27" i="125"/>
  <c r="G26" i="125" s="1"/>
  <c r="H27" i="125"/>
  <c r="H26" i="125" s="1"/>
  <c r="K26" i="125" s="1"/>
  <c r="H92" i="125"/>
  <c r="G92" i="125" s="1"/>
  <c r="K15" i="125"/>
  <c r="P117" i="97"/>
  <c r="E116" i="97"/>
  <c r="G43" i="125"/>
  <c r="P26" i="97"/>
  <c r="Q26" i="97" s="1"/>
  <c r="E25" i="97"/>
  <c r="K43" i="125"/>
  <c r="P14" i="97"/>
  <c r="M10" i="107"/>
  <c r="M14" i="107" s="1"/>
  <c r="Q11" i="107"/>
  <c r="Q10" i="107" s="1"/>
  <c r="Q14" i="107" s="1"/>
  <c r="G132" i="125"/>
  <c r="P17" i="97"/>
  <c r="P84" i="97"/>
  <c r="L43" i="125"/>
  <c r="P44" i="97"/>
  <c r="P108" i="97"/>
  <c r="P112" i="97"/>
  <c r="P21" i="97"/>
  <c r="P124" i="97"/>
  <c r="P125" i="97"/>
  <c r="P110" i="97"/>
  <c r="G123" i="125" l="1"/>
  <c r="G122" i="125" s="1"/>
  <c r="Q107" i="97"/>
  <c r="Q14" i="97"/>
  <c r="Q39" i="97"/>
  <c r="Q117" i="97"/>
  <c r="G12" i="125"/>
  <c r="G11" i="125" s="1"/>
  <c r="P106" i="97"/>
  <c r="P87" i="97"/>
  <c r="I14" i="107"/>
  <c r="G14" i="107" s="1"/>
  <c r="P25" i="97" l="1"/>
  <c r="P13" i="97"/>
  <c r="P116" i="97" l="1"/>
  <c r="P187" i="97" l="1"/>
  <c r="P186" i="97" s="1"/>
  <c r="P182" i="97"/>
  <c r="P181" i="97" l="1"/>
  <c r="Q182" i="97"/>
  <c r="Q187" i="97"/>
  <c r="P176" i="97" l="1"/>
  <c r="Q176" i="97" s="1"/>
  <c r="P175" i="97" l="1"/>
  <c r="L192" i="125"/>
  <c r="P169" i="97"/>
  <c r="Q169" i="97" s="1"/>
  <c r="P168" i="97" l="1"/>
  <c r="P164" i="97"/>
  <c r="Q164" i="97" s="1"/>
  <c r="P163" i="97" l="1"/>
  <c r="P154" i="97" l="1"/>
  <c r="G207" i="125" l="1"/>
  <c r="N53" i="97" l="1"/>
  <c r="N192" i="97" s="1"/>
  <c r="N201" i="97" s="1"/>
  <c r="K53" i="97"/>
  <c r="M59" i="125" s="1"/>
  <c r="M53" i="97"/>
  <c r="M52" i="97" s="1"/>
  <c r="O78" i="97"/>
  <c r="L53" i="97"/>
  <c r="L192" i="97" s="1"/>
  <c r="K52" i="97" l="1"/>
  <c r="M192" i="97"/>
  <c r="M201" i="97" s="1"/>
  <c r="L201" i="97"/>
  <c r="L202" i="97"/>
  <c r="K192" i="97"/>
  <c r="N52" i="97"/>
  <c r="O53" i="97"/>
  <c r="J53" i="97" s="1"/>
  <c r="J78" i="97"/>
  <c r="R53" i="97"/>
  <c r="I53" i="97"/>
  <c r="L52" i="97"/>
  <c r="K204" i="97" l="1"/>
  <c r="K201" i="97"/>
  <c r="Q192" i="97"/>
  <c r="R78" i="97"/>
  <c r="I85" i="125" s="1"/>
  <c r="I60" i="125" s="1"/>
  <c r="O192" i="97"/>
  <c r="O202" i="97" s="1"/>
  <c r="K189" i="98"/>
  <c r="O52" i="97"/>
  <c r="H53" i="97"/>
  <c r="I52" i="97"/>
  <c r="I192" i="97"/>
  <c r="I201" i="97" s="1"/>
  <c r="J192" i="97"/>
  <c r="J201" i="97" s="1"/>
  <c r="J52" i="97"/>
  <c r="O201" i="97" l="1"/>
  <c r="I59" i="125"/>
  <c r="L59" i="125" s="1"/>
  <c r="I215" i="125"/>
  <c r="H52" i="97"/>
  <c r="H192" i="97"/>
  <c r="H201" i="97" s="1"/>
  <c r="G53" i="97"/>
  <c r="G192" i="97" l="1"/>
  <c r="G201" i="97" s="1"/>
  <c r="G52" i="97"/>
  <c r="E78" i="97"/>
  <c r="F53" i="97"/>
  <c r="F52" i="97" s="1"/>
  <c r="F192" i="97" s="1"/>
  <c r="F205" i="97" s="1"/>
  <c r="Q78" i="97" l="1"/>
  <c r="H85" i="125" s="1"/>
  <c r="H60" i="125" s="1"/>
  <c r="F201" i="97"/>
  <c r="E53" i="97"/>
  <c r="E52" i="97" s="1"/>
  <c r="P78" i="97"/>
  <c r="E192" i="97" l="1"/>
  <c r="P53" i="97"/>
  <c r="Q53" i="97" s="1"/>
  <c r="G85" i="125"/>
  <c r="G60" i="125" s="1"/>
  <c r="E204" i="97" l="1"/>
  <c r="F202" i="97"/>
  <c r="P52" i="97"/>
  <c r="P192" i="97" s="1"/>
  <c r="F204" i="97" s="1"/>
  <c r="E201" i="97"/>
  <c r="H59" i="125"/>
  <c r="K59" i="125" s="1"/>
  <c r="H215" i="125"/>
  <c r="G59" i="125"/>
  <c r="G215" i="125"/>
  <c r="P202" i="97" l="1"/>
  <c r="P201" i="97"/>
  <c r="K215" i="125"/>
</calcChain>
</file>

<file path=xl/sharedStrings.xml><?xml version="1.0" encoding="utf-8"?>
<sst xmlns="http://schemas.openxmlformats.org/spreadsheetml/2006/main" count="2969" uniqueCount="986">
  <si>
    <t>Департамент освіти та науки Хмельницької міської ради (головний розпорядник)</t>
  </si>
  <si>
    <t>Департамент освіти та науки Хмельницької міської ради (відповідальний виконавець)</t>
  </si>
  <si>
    <t>Будівництво 2-ї черги водогону від с.Чернелівка Красилівського району до м.Хмельницький</t>
  </si>
  <si>
    <t>Реконструкція з надбудовою приміщень навчально-виховного комплексу №10 по вул. Водопровідній, 9А в м.Хмельницькому</t>
  </si>
  <si>
    <t>1</t>
  </si>
  <si>
    <t>2</t>
  </si>
  <si>
    <t>Проведення навчально-тренувальних зборів і змагань з неолімпійських видів спорту</t>
  </si>
  <si>
    <t>4</t>
  </si>
  <si>
    <t>Надання субсидій населенню для відшкодування витрат на оплату житлово-комунальних послуг</t>
  </si>
  <si>
    <t>Пільгове медичне обслуговування осіб, які постраждали внаслідок Чорнобильської катастрофи</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</si>
  <si>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</si>
  <si>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</si>
  <si>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</si>
  <si>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</si>
  <si>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</si>
  <si>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державної соціальної допомоги малозабезпеченим сім'ям</t>
  </si>
  <si>
    <t>Надання пільг окремим категоріям громадян з оплати послуг зв'язку</t>
  </si>
  <si>
    <t>Компенсаційні виплати на пільговий проїзд автомобільним транспортом окремим категоріям громадян</t>
  </si>
  <si>
    <t>Компенсаційні виплати за пільговий проїзд окремих категорій громадян на залізничному транспорті</t>
  </si>
  <si>
    <t>Надання субсидій населенню для відшкодування витрат на придбання твердого та рідкого пічного побутового палива і скрапленого газу</t>
  </si>
  <si>
    <t>Програма розвитку міста Хмельницького у сфері культури на період до 2020 року "50 кроків, що змінять місто"</t>
  </si>
  <si>
    <t>Компенсаційні виплати на пільговий проїзд електротранспортом окремим категоріям громадян</t>
  </si>
  <si>
    <t>Здійснення заходів та реалізація проектів на виконання Державної цільової соціальної програми «Молодь України»</t>
  </si>
  <si>
    <t>Утримання клубів для підлітків за місцем проживання</t>
  </si>
  <si>
    <t>Разом</t>
  </si>
  <si>
    <t>Загальний фонд</t>
  </si>
  <si>
    <t>з них</t>
  </si>
  <si>
    <t>3</t>
  </si>
  <si>
    <t>комунальні послуги та енергоносії</t>
  </si>
  <si>
    <t>Код програмної класифікації видатків та кредитування місцевих бюджетів</t>
  </si>
  <si>
    <t>Код ФКВКБ</t>
  </si>
  <si>
    <t>Реконструкція існуючої будівлі краєзнавчого музею під музейний комплекс історії та культури по вул.Свободи,22 в м.Хмельницькому</t>
  </si>
  <si>
    <t>Надання загальної середньої освіти спеціальними загальноосвітніми школами-інтернатами, школами та іншими навчальними закладами для дітей, які потребують корекції фізичного та (або) розумового розвитку</t>
  </si>
  <si>
    <t>Надання позашкільної освіти позашкільними закладами освіти, заходи із позашкільної роботи з дітьми</t>
  </si>
  <si>
    <t>1011100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</si>
  <si>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</si>
  <si>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Управління охорони здоров'я Хмельницької міської ради (головний розпорядник)</t>
  </si>
  <si>
    <t>Багатопрофільна стаціонарна медична допомога населенню</t>
  </si>
  <si>
    <t>Код ТПКВКМБ /
ТКВКБМС</t>
  </si>
  <si>
    <t>1110000</t>
  </si>
  <si>
    <t>1100000</t>
  </si>
  <si>
    <t>Управління молоді та спорту Хмельницької міської ради (головний розпорядник)</t>
  </si>
  <si>
    <t>Управління житлово-комунального господарства Хмельницької міської ради (головний розпорядник)</t>
  </si>
  <si>
    <t>Управління культури і туризму Хмельницької міської ради (головний розпорядник)</t>
  </si>
  <si>
    <t>1500000</t>
  </si>
  <si>
    <t>1510000</t>
  </si>
  <si>
    <t>Управління архітектури та містобудування департаменту архітектури, містобудування та земельних ресурсів (головний розпорядник)</t>
  </si>
  <si>
    <t xml:space="preserve">Управління з питань екології та контролю за благоустроєм міста (головний розпорядник) </t>
  </si>
  <si>
    <t>Фінансове управління Хмельницької міської ради (головний розпорядник)</t>
  </si>
  <si>
    <t>1115031</t>
  </si>
  <si>
    <t>1115032</t>
  </si>
  <si>
    <t>1115061</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</si>
  <si>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</si>
  <si>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1115063</t>
  </si>
  <si>
    <t>Забезпечення діяльності централізованої бухгалтерії</t>
  </si>
  <si>
    <t>Проведення інформаційних заходів з організації проведення аукціонів</t>
  </si>
  <si>
    <t>Виготовлення документації із землеустрою</t>
  </si>
  <si>
    <t>Внески до статутного капіталу суб’єктів господарювання</t>
  </si>
  <si>
    <t>Управління молоді та спорту Хмельницької міської ради (відповідальний виконавець)</t>
  </si>
  <si>
    <t>Управління охорони здоров'я Хмельницької міської ради (відповідальний виконавець)</t>
  </si>
  <si>
    <t>Управління праці та соціального захисту населення Хмельницької міської ради (головний розпорядник)</t>
  </si>
  <si>
    <t>Управління праці та соціального захисту населення Хмельницької міської ради (відповідальний виконавець)</t>
  </si>
  <si>
    <t>Управління культури і туризму Хмельницької міської ради (відповідальний виконавець)</t>
  </si>
  <si>
    <t>Управління житлово-комунального господарства Хмельницької міської ради (відповідальний виконавець)</t>
  </si>
  <si>
    <t>Управління архітектури та містобудування департаменту архітектури, містобудування та земельних ресурсів (відповідальний виконавець)</t>
  </si>
  <si>
    <t xml:space="preserve">Управління з питань екології та контролю за благоустроєм міста (відповідальний виконавець) </t>
  </si>
  <si>
    <t>Фінансове управління Хмельницької міської ради (відповідальний виконавець)</t>
  </si>
  <si>
    <t>Заходи з енергозбереження</t>
  </si>
  <si>
    <t>Резервний фонд</t>
  </si>
  <si>
    <t xml:space="preserve"> Реверсна дотація</t>
  </si>
  <si>
    <t>0133</t>
  </si>
  <si>
    <t>0180</t>
  </si>
  <si>
    <t>1113131</t>
  </si>
  <si>
    <t>1115011</t>
  </si>
  <si>
    <t>Проведення навчально-тренувальних зборів і змагань з олімпійських видів спорту</t>
  </si>
  <si>
    <t>1115012</t>
  </si>
  <si>
    <t>1115022</t>
  </si>
  <si>
    <t>Утримання та навчально-тренувальна робота комунальних дитячо-юнацьких спортивних шкіл</t>
  </si>
  <si>
    <t>Фінансова підтримка дитячо-юнацьких спортивних шкіл фізкультурно-спортивних товариств</t>
  </si>
  <si>
    <t>1060</t>
  </si>
  <si>
    <t>Всього, в т.ч.:</t>
  </si>
  <si>
    <t>0511</t>
  </si>
  <si>
    <t>Охорона та раціональне використання природних ресурсів</t>
  </si>
  <si>
    <t>0540</t>
  </si>
  <si>
    <t>Спеціальний фонд</t>
  </si>
  <si>
    <t>видатки споживання</t>
  </si>
  <si>
    <t>оплата праці</t>
  </si>
  <si>
    <t>видатки розвитку</t>
  </si>
  <si>
    <t>Розподіл</t>
  </si>
  <si>
    <t>Додаток №3</t>
  </si>
  <si>
    <t>Капітальні видатки</t>
  </si>
  <si>
    <t xml:space="preserve">Реконструкція покрівель житлових будинків </t>
  </si>
  <si>
    <t>Додаток 1</t>
  </si>
  <si>
    <t>( грн.)</t>
  </si>
  <si>
    <t>Код</t>
  </si>
  <si>
    <t>Найменування згідно
 з класифікацією доходів бюджету</t>
  </si>
  <si>
    <t>Податкові надходження</t>
  </si>
  <si>
    <t>Податки на доходи, податки на прибуток, податки на збільшення ринкової вартості</t>
  </si>
  <si>
    <t xml:space="preserve">Податок на доходи фізичних осіб </t>
  </si>
  <si>
    <t xml:space="preserve">Податок на  доходи фізичних осіб, що сплачуються податковими агентами, із доходів платника податку у вигляді заробітної плати </t>
  </si>
  <si>
    <t xml:space="preserve">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 </t>
  </si>
  <si>
    <t xml:space="preserve">Податок на доходи фізичних осіб, що сплачується податковими агентами, із доходів платника податку інших ніж заробітна плата </t>
  </si>
  <si>
    <t xml:space="preserve">Податок на доходи доходів фізичних осіб, що сплачуються фізичними особами за результатами річного декларування </t>
  </si>
  <si>
    <t>Податок на прибуток підприємств</t>
  </si>
  <si>
    <t xml:space="preserve"> Податок на прибуток підприємств та фінансових установ комунальної власності </t>
  </si>
  <si>
    <t xml:space="preserve">Акцизний податок з реалізації суб"єктами господарювання роздрібної торгівлі підакцизних товарів </t>
  </si>
  <si>
    <t>Місцеві  податки і збори</t>
  </si>
  <si>
    <t>Податок на майно</t>
  </si>
  <si>
    <t xml:space="preserve">Податок на нерухоме майно, відмінне від земельної ділянки, сплачений юридичними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</si>
  <si>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</si>
  <si>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нежитлової нерухомості   </t>
  </si>
  <si>
    <t xml:space="preserve">Податок на нерухоме майно, відмінне від земельної ділянки, сплачений юридичними особами, які є власниками об"єктів нежитлової нерухомості   </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</si>
  <si>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</si>
  <si>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</si>
  <si>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</si>
  <si>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</si>
  <si>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Транспортний податок з фізичних  осіб</t>
  </si>
  <si>
    <t>Транспортний податок з юридичних осіб</t>
  </si>
  <si>
    <t xml:space="preserve">Туристичний збір </t>
  </si>
  <si>
    <t xml:space="preserve">Туристичний збір, сплачений юридичними особами  </t>
  </si>
  <si>
    <t xml:space="preserve">Туристичний збір, сплачений фізичними особами  </t>
  </si>
  <si>
    <t xml:space="preserve">Єдиний податок  </t>
  </si>
  <si>
    <t xml:space="preserve">Єдиний податок  з юридичних осіб
</t>
  </si>
  <si>
    <t>Єдиний податок  з фізичних осіб</t>
  </si>
  <si>
    <t xml:space="preserve">Екологічний податок </t>
  </si>
  <si>
    <t xml:space="preserve">Надходження  від викидів забруднюючих речовин в атмосферне повітря стаціонарними джерелами забруднення </t>
  </si>
  <si>
    <t>Надходження від скидів забруднюючих речовин безпосередньо у водні об"єкти</t>
  </si>
  <si>
    <t xml:space="preserve">Надходження від розміщення відходів у спеціально відведених місцях чи на об"єктах, крім розміщення окремих видів відходів як вторинної сировини </t>
  </si>
  <si>
    <t>Неподаткові надходження</t>
  </si>
  <si>
    <t>Частина чистого прибутку (доходу)  комунальних унітарних підприємств та їх об"єднань, що вилучається до відповідного місцевого бюджету</t>
  </si>
  <si>
    <t xml:space="preserve">Плата за розміщення тимчасово вільних коштів </t>
  </si>
  <si>
    <t xml:space="preserve">Надходження від штрафів та фінансових санкцій </t>
  </si>
  <si>
    <t>Адміністративні штрафи та інші санкції</t>
  </si>
  <si>
    <t>Адміністративні штрафи та штрафні санкції за порушення законодавства у сфері виробництва та обігу алкогольних напоїв та тютюнових виробів</t>
  </si>
  <si>
    <t>Адміністративні збори та платежі, доходи від некомерційної господарської діяльності</t>
  </si>
  <si>
    <t xml:space="preserve">Адміністративний збір за державну реєстрацію речових прав на нерухоме майно та їх обтяжень </t>
  </si>
  <si>
    <t xml:space="preserve">Плата за надання інших адміністративних послуг </t>
  </si>
  <si>
    <t xml:space="preserve">Надходження від орендної плати за користування цілісним майновим комплексом та іншим майном, що перебуває в комунальній власності </t>
  </si>
  <si>
    <t xml:space="preserve">Державне мито </t>
  </si>
  <si>
    <t>Державне мито, що сплачується за місцем розгляду та оформлення документів, у тому числі за оформлення документів на спадщину і дарування</t>
  </si>
  <si>
    <t>Державне мито, не віднесене до інших категорій </t>
  </si>
  <si>
    <t>Державне мито, пов`язане з видачею та оформленням закордонних паспортів (посвідок) та паспортів громадян України</t>
  </si>
  <si>
    <t>Інші неподаткові надходження</t>
  </si>
  <si>
    <t xml:space="preserve">Інші надходження </t>
  </si>
  <si>
    <t xml:space="preserve">Надходження коштів пайової участі у розвитку інфраструктури населеного пункту </t>
  </si>
  <si>
    <t>Власні надходження бюджетних установ</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</si>
  <si>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</si>
  <si>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</si>
  <si>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Надходження бюджетних установ від додаткової (господарської)  діяльності</t>
  </si>
  <si>
    <t>Плата за оренду майна бюджетних установ</t>
  </si>
  <si>
    <t>Надходження  бюджетних установ від реалізації в установленому порядку майна (крім нерухомого майна)</t>
  </si>
  <si>
    <r>
      <t>Інші джерела власних надходжень бюджетних установ</t>
    </r>
    <r>
      <rPr>
        <sz val="12"/>
        <rFont val="Times New Roman"/>
        <family val="1"/>
        <charset val="204"/>
      </rPr>
      <t xml:space="preserve">  </t>
    </r>
  </si>
  <si>
    <t xml:space="preserve">Благодійні внески, гранти та дарунки </t>
  </si>
  <si>
    <t xml:space="preserve">Кошти, що отримують бюджетні установи від підприємств, організацій, фізичних осіб та від інших бюджетних установ для виконання цільових заходів, у тому числі заходів з відчуження для суспільних потреб земельних ділянок та розміщених на них інших об'єктів </t>
  </si>
  <si>
    <t>Доходи від операцій з капіталом</t>
  </si>
  <si>
    <t>Надходження від продажу основного капіталу</t>
  </si>
  <si>
    <t xml:space="preserve">Кошти від реалізації безхазяйного майна,знахідок,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 </t>
  </si>
  <si>
    <t xml:space="preserve">Кошти  від відчуження майна, яке належить  Автономній Республіці Крим та майна, що знаходиться у комунальній власності </t>
  </si>
  <si>
    <t>Надходження від продажу землі і нематеріальних активів</t>
  </si>
  <si>
    <t xml:space="preserve">Кошти від продажу землі </t>
  </si>
  <si>
    <t>Кошти від продажу прав на земельні ділянки несільськогосподарського призначення, що перебувають у державній або комунальній власності</t>
  </si>
  <si>
    <t xml:space="preserve">Цільові фонди, утворені Верховною радою Автономної Республіки Крим, органами місцевого самоврядування та місцевими органами виконавчої влади </t>
  </si>
  <si>
    <t xml:space="preserve">Субвенції  </t>
  </si>
  <si>
    <t xml:space="preserve">Освітня субвенція з державного бюджету місцевим бюджетам </t>
  </si>
  <si>
    <t xml:space="preserve">Медична субвенція з державного бюджету місцевим бюджетам </t>
  </si>
  <si>
    <t xml:space="preserve"> - на пільгове медичне обслуговування громадян, які постраждали внаслідок Чорнобильської катастрофи</t>
  </si>
  <si>
    <t xml:space="preserve"> -  на компенсаційні виплати інвалідам на бензин, ремонт, техобслуговування автотранспорту та транспортне обслуговування</t>
  </si>
  <si>
    <t xml:space="preserve"> - на компенсаційні виплати на встановлення телефонів інвалідам 1-ї та 2-ї груп </t>
  </si>
  <si>
    <t xml:space="preserve">  - на поховання учасників бойових дій та інвалідів війни</t>
  </si>
  <si>
    <t>Всього доходів</t>
  </si>
  <si>
    <t>Додаток 2</t>
  </si>
  <si>
    <t>до рішення</t>
  </si>
  <si>
    <t>від                 №</t>
  </si>
  <si>
    <t>200000</t>
  </si>
  <si>
    <t>Внутрішнє фінансування</t>
  </si>
  <si>
    <t>208100</t>
  </si>
  <si>
    <t>На початок періоду</t>
  </si>
  <si>
    <t>На кінець періоду</t>
  </si>
  <si>
    <t>Передача коштів із загального до бюджету розвитку (спеціального фонду)</t>
  </si>
  <si>
    <t xml:space="preserve">Фінансування за борговими операціями </t>
  </si>
  <si>
    <t xml:space="preserve">Запозичення </t>
  </si>
  <si>
    <t>600000</t>
  </si>
  <si>
    <t>Фінансування за активними операціями</t>
  </si>
  <si>
    <t>Зміни обсягів готівкових коштів на початок періоду</t>
  </si>
  <si>
    <t>Зміни обсягів готівкових коштів на кінець періоду</t>
  </si>
  <si>
    <t>Надання кредитів</t>
  </si>
  <si>
    <t>Повернення кредитів</t>
  </si>
  <si>
    <t>0,0</t>
  </si>
  <si>
    <t>Додаток №6</t>
  </si>
  <si>
    <t xml:space="preserve">до рішення №      від  </t>
  </si>
  <si>
    <t>Кошторис доходів та видатків цільового фонду</t>
  </si>
  <si>
    <t>Хмельницької міської ради</t>
  </si>
  <si>
    <t xml:space="preserve">Пункти Положення </t>
  </si>
  <si>
    <t>Джерела доходів</t>
  </si>
  <si>
    <t>2.1.1.</t>
  </si>
  <si>
    <t>Кошти за надлишки загальної житлової площі при приватизації державного житлового фонду</t>
  </si>
  <si>
    <t>2.1.2.</t>
  </si>
  <si>
    <t>Кошти за тимчасове користування місцями для розміщення зовнішньої реклами</t>
  </si>
  <si>
    <t>2.1.3.</t>
  </si>
  <si>
    <t>Надходження коштів від забудовників, які без відповідного дозволу здійснили або здійснюють роботи по будівництву, реконструкції, реставрації, капітальному ремонту об"єктів містобудування</t>
  </si>
  <si>
    <t>2.1.4.</t>
  </si>
  <si>
    <t xml:space="preserve">Надходження коштів, що мають вноситися заявниками, у розмірі 10 відсотків початкової вартості продажу об"єкта малої приватизації, за участь у аукціоні, конкурсі </t>
  </si>
  <si>
    <t>2.1.5.</t>
  </si>
  <si>
    <t xml:space="preserve">Надходження плати за виготовлення бланків і видачу свідоцтв про право власності на житлове (житлові) приміщення у гуртожитку </t>
  </si>
  <si>
    <t xml:space="preserve">Всього по джерелах доходів : </t>
  </si>
  <si>
    <t>Разом:</t>
  </si>
  <si>
    <t>Видатки</t>
  </si>
  <si>
    <t>3.2.1.</t>
  </si>
  <si>
    <t>Фінансове забезпечення проведення міських заходів виконавчим комітетом Хмельницької міської ради та управліннями і відділами міської ради</t>
  </si>
  <si>
    <t>3.2.3.</t>
  </si>
  <si>
    <t>Матеріальне забезпечення проведення сесій міської ради, депутатських днів та інших організаційних заходів з діяльності депутатів міської ради</t>
  </si>
  <si>
    <t>3.2.4.</t>
  </si>
  <si>
    <t>3.2.5.</t>
  </si>
  <si>
    <t>3.2.6.</t>
  </si>
  <si>
    <t>Виплата винагороди головам квартальних комітетів</t>
  </si>
  <si>
    <t>3.2.7.</t>
  </si>
  <si>
    <t>Оплата подарунків до ювілеїв, річниць, пам’ятних дат, професійних свят підприємств, організацій, установ та фізичних осіб</t>
  </si>
  <si>
    <t>3.2.8.</t>
  </si>
  <si>
    <t xml:space="preserve">Спрямування коштів на житлове будівництво, реконструкцію та на ремонт житла всіх форм власності, в т.ч. будинків житлово-будівельних кооперативів (ТОВ "ЖЕО"), об'є́днань співвла́сників багатокварти́рних буди́нків, Будинкоуправління №2  КЕВ м. Хмельницький та будівель і споруд  комунальної власності </t>
  </si>
  <si>
    <t>3.2.11.</t>
  </si>
  <si>
    <t>Здійснення заходів з приватизації, відчуження та передачі в оренду майна комунальної власності</t>
  </si>
  <si>
    <t>3.2.12.</t>
  </si>
  <si>
    <t>Повернення коштів, внесених заявниками за участь у аукціоні, конкурсі з продажу об'єктів малої приватизації у випадках, передбачених Законом України "Про приватизацію невеликих державних підприємств (малу приватизацію)"</t>
  </si>
  <si>
    <t>3.2.16.</t>
  </si>
  <si>
    <t>Інші видатки, що здійснюються згідно розпоряджень міського голови, рішень міської ради та її виконавчого комітету.</t>
  </si>
  <si>
    <t>Пальне (вироблене в Україні)</t>
  </si>
  <si>
    <t>Пальне  (ввезене на митну територію  України)</t>
  </si>
  <si>
    <t xml:space="preserve">Будівництво центру поводження з тваринами  КП “Надія” по вул. Заводській, 165 в м. Хмельницькому </t>
  </si>
  <si>
    <t>Адміністративний збір з проведення державної реєстрації юридичних осіб, фізичних осіб - підприємців та громадських формувань</t>
  </si>
  <si>
    <t>0200000</t>
  </si>
  <si>
    <t>0210000</t>
  </si>
  <si>
    <t>Виконавчий комітет Хмельницької міської ради (головний розпорядник)</t>
  </si>
  <si>
    <t>Виконавчий комітет Хмельницької міської ради  (відповідальний виконавець)</t>
  </si>
  <si>
    <t>0600000</t>
  </si>
  <si>
    <t>0610000</t>
  </si>
  <si>
    <t>0700000</t>
  </si>
  <si>
    <t>0710000</t>
  </si>
  <si>
    <t>0800000</t>
  </si>
  <si>
    <t>0810000</t>
  </si>
  <si>
    <t>1200000</t>
  </si>
  <si>
    <t>1210000</t>
  </si>
  <si>
    <t>1600000</t>
  </si>
  <si>
    <t>1610000</t>
  </si>
  <si>
    <t>3600000</t>
  </si>
  <si>
    <t>3610000</t>
  </si>
  <si>
    <t>2800000</t>
  </si>
  <si>
    <t>2810000</t>
  </si>
  <si>
    <t>2700000</t>
  </si>
  <si>
    <t>2710000</t>
  </si>
  <si>
    <t>3700000</t>
  </si>
  <si>
    <t>3710000</t>
  </si>
  <si>
    <t>0490</t>
  </si>
  <si>
    <t>1014010</t>
  </si>
  <si>
    <t>4010</t>
  </si>
  <si>
    <t>4060</t>
  </si>
  <si>
    <t>3131</t>
  </si>
  <si>
    <t>0821</t>
  </si>
  <si>
    <t>Фінансова підтримка театрів</t>
  </si>
  <si>
    <t>1014030</t>
  </si>
  <si>
    <t>4030</t>
  </si>
  <si>
    <t>0824</t>
  </si>
  <si>
    <t>Забезпечення діяльності бібліотек</t>
  </si>
  <si>
    <t>1014040</t>
  </si>
  <si>
    <t>4040</t>
  </si>
  <si>
    <t xml:space="preserve"> Забезпечення діяльності музеїв i виставок</t>
  </si>
  <si>
    <t>1014060</t>
  </si>
  <si>
    <t>0828</t>
  </si>
  <si>
    <t>Забезпечення діяльності палаців i будинків культури, клубів, центрів дозвілля та iнших клубних закладів</t>
  </si>
  <si>
    <t>Надання спеціальної освіти школами естетичного виховання (музичними, художніми, хореографічними, театральними, хоровими, мистецькими)</t>
  </si>
  <si>
    <t>1100</t>
  </si>
  <si>
    <t>0960</t>
  </si>
  <si>
    <t>0829</t>
  </si>
  <si>
    <t>1113121</t>
  </si>
  <si>
    <t>3121</t>
  </si>
  <si>
    <t>1040</t>
  </si>
  <si>
    <t>Утримання та забезпечення діяльності центрів соціальних служб для сім’ї, дітей та молоді</t>
  </si>
  <si>
    <t>5011</t>
  </si>
  <si>
    <t>5012</t>
  </si>
  <si>
    <t>5022</t>
  </si>
  <si>
    <t>1113132</t>
  </si>
  <si>
    <t>3132</t>
  </si>
  <si>
    <t>3230</t>
  </si>
  <si>
    <t>1090</t>
  </si>
  <si>
    <t>5031</t>
  </si>
  <si>
    <t>5032</t>
  </si>
  <si>
    <t>5061</t>
  </si>
  <si>
    <t>0810</t>
  </si>
  <si>
    <t>5063</t>
  </si>
  <si>
    <t>7670</t>
  </si>
  <si>
    <t>0611010</t>
  </si>
  <si>
    <t>1010</t>
  </si>
  <si>
    <t>1020</t>
  </si>
  <si>
    <t>0910</t>
  </si>
  <si>
    <t>Надання дошкільної освіти</t>
  </si>
  <si>
    <t>Надання загальної середньої освіти загальноосвітніми навчальними закладами ( в т. ч. школою-дитячим садком, інтернатом при школі), спеціалізованими школами, ліцеями, гімназіями, колегіумами</t>
  </si>
  <si>
    <t>0611020</t>
  </si>
  <si>
    <t>0921</t>
  </si>
  <si>
    <t>1030</t>
  </si>
  <si>
    <t>1070</t>
  </si>
  <si>
    <t>0611070</t>
  </si>
  <si>
    <t>0922</t>
  </si>
  <si>
    <t>0611090</t>
  </si>
  <si>
    <t>0611110</t>
  </si>
  <si>
    <t>1110</t>
  </si>
  <si>
    <t>0930</t>
  </si>
  <si>
    <t>Підготовка кадрів професійно-технічними закладами та іншими закладами освіти</t>
  </si>
  <si>
    <t>Методичне забезпечення діяльності навчальних закладів</t>
  </si>
  <si>
    <t>0611150</t>
  </si>
  <si>
    <t>1150</t>
  </si>
  <si>
    <t>0990</t>
  </si>
  <si>
    <t>2010</t>
  </si>
  <si>
    <t>0617640</t>
  </si>
  <si>
    <t>7640</t>
  </si>
  <si>
    <t>0470</t>
  </si>
  <si>
    <t>0712010</t>
  </si>
  <si>
    <t>0731</t>
  </si>
  <si>
    <t>0712030</t>
  </si>
  <si>
    <t>2030</t>
  </si>
  <si>
    <t>0733</t>
  </si>
  <si>
    <t>Лікарсько-акушерська допомога вагітним, породіллям та новонародженим</t>
  </si>
  <si>
    <t>0712080</t>
  </si>
  <si>
    <t>2080</t>
  </si>
  <si>
    <t>0721</t>
  </si>
  <si>
    <t>0712100</t>
  </si>
  <si>
    <t>2100</t>
  </si>
  <si>
    <t>0722</t>
  </si>
  <si>
    <t>Стоматологічна допомога населенню</t>
  </si>
  <si>
    <t>0712111</t>
  </si>
  <si>
    <t>2111</t>
  </si>
  <si>
    <t>Первинна медична допомога населенню, що надається центрами первинної медичної (медико-санітарної) допомоги</t>
  </si>
  <si>
    <t>0763</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</si>
  <si>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</si>
  <si>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0210150</t>
  </si>
  <si>
    <t>0150</t>
  </si>
  <si>
    <t>0111</t>
  </si>
  <si>
    <t>Керівництво і управління у відповідній сфері у містах (місті Києві), селищах, селах, об’єднаних територіальних громадах</t>
  </si>
  <si>
    <t>0160</t>
  </si>
  <si>
    <t>Реалізація Національної програми інформатизації</t>
  </si>
  <si>
    <t>0217520</t>
  </si>
  <si>
    <t>7520</t>
  </si>
  <si>
    <t>0460</t>
  </si>
  <si>
    <t>0218410</t>
  </si>
  <si>
    <t>8410</t>
  </si>
  <si>
    <t>0830</t>
  </si>
  <si>
    <t>Фінансова підтримка засобів масової інформації</t>
  </si>
  <si>
    <t>0219710</t>
  </si>
  <si>
    <t>9710</t>
  </si>
  <si>
    <t>Субвенція з місцевого бюджету на утримання об'єктів спільного користування чи ліквідацію негативних наслідків діяльності об'єктів спільного користування</t>
  </si>
  <si>
    <t>0210180</t>
  </si>
  <si>
    <t>Інша діяльність у сфері державного управління</t>
  </si>
  <si>
    <t>Надання пільг на оплату житлово-комунальних послуг окремим категоріям громадян відповідно до законодавства</t>
  </si>
  <si>
    <t>0813011</t>
  </si>
  <si>
    <t>3011</t>
  </si>
  <si>
    <t>3041</t>
  </si>
  <si>
    <t>3042</t>
  </si>
  <si>
    <t>3043</t>
  </si>
  <si>
    <t>3044</t>
  </si>
  <si>
    <t>3045</t>
  </si>
  <si>
    <t>3046</t>
  </si>
  <si>
    <t>3047</t>
  </si>
  <si>
    <t>Надання допомоги при усиновленні дитини</t>
  </si>
  <si>
    <t>0813041</t>
  </si>
  <si>
    <t>0813042</t>
  </si>
  <si>
    <t>0813043</t>
  </si>
  <si>
    <t>0813044</t>
  </si>
  <si>
    <t>0813045</t>
  </si>
  <si>
    <t>0813046</t>
  </si>
  <si>
    <t>0813047</t>
  </si>
  <si>
    <t>3050</t>
  </si>
  <si>
    <t>3090</t>
  </si>
  <si>
    <t>0813012</t>
  </si>
  <si>
    <t>3012</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</si>
  <si>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</si>
  <si>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0813021</t>
  </si>
  <si>
    <t>3021</t>
  </si>
  <si>
    <t>0813022</t>
  </si>
  <si>
    <t>3022</t>
  </si>
  <si>
    <t>0813050</t>
  </si>
  <si>
    <t>0813090</t>
  </si>
  <si>
    <t>Заходи з організації рятування на водах</t>
  </si>
  <si>
    <t>1218120</t>
  </si>
  <si>
    <t>8120</t>
  </si>
  <si>
    <t>0320</t>
  </si>
  <si>
    <t>2717630</t>
  </si>
  <si>
    <t>Реалізація програм і заходів в галузі зовнішньоекономічної діяльності</t>
  </si>
  <si>
    <t>7630</t>
  </si>
  <si>
    <t>Інші заходи, пов'язані з економічною діяльністю</t>
  </si>
  <si>
    <t>2717693</t>
  </si>
  <si>
    <t>7693</t>
  </si>
  <si>
    <t>Сприяння розвитку малого та середнього підприємництва</t>
  </si>
  <si>
    <t>0411</t>
  </si>
  <si>
    <t>2717610</t>
  </si>
  <si>
    <t>7610</t>
  </si>
  <si>
    <t>Реалізація інших заходів щодо соціально-економічного розвитку територій</t>
  </si>
  <si>
    <t>0813230</t>
  </si>
  <si>
    <t>0813160</t>
  </si>
  <si>
    <t>3160</t>
  </si>
  <si>
    <t>3104</t>
  </si>
  <si>
    <t>3105</t>
  </si>
  <si>
    <t>0813104</t>
  </si>
  <si>
    <t>0813105</t>
  </si>
  <si>
    <t>0813031</t>
  </si>
  <si>
    <t>3031</t>
  </si>
  <si>
    <t>Надання інших пільг окремим категоріям громадян відповідно до законодавства</t>
  </si>
  <si>
    <t>0813032</t>
  </si>
  <si>
    <t>3032</t>
  </si>
  <si>
    <t>3035</t>
  </si>
  <si>
    <t>0813033</t>
  </si>
  <si>
    <t>3033</t>
  </si>
  <si>
    <t>0813035</t>
  </si>
  <si>
    <t>0813036</t>
  </si>
  <si>
    <t>3036</t>
  </si>
  <si>
    <t>1216011</t>
  </si>
  <si>
    <t>6011</t>
  </si>
  <si>
    <t>Експлуатація та технічне обслуговування житлового фонду</t>
  </si>
  <si>
    <t>0620</t>
  </si>
  <si>
    <t>1216017</t>
  </si>
  <si>
    <t>6017</t>
  </si>
  <si>
    <t xml:space="preserve">Інша діяльність, пов’язана з експлуатацією об’єктів житлово-комунального господарства </t>
  </si>
  <si>
    <t>1216013</t>
  </si>
  <si>
    <t>6013</t>
  </si>
  <si>
    <t>Забезпечення діяльності водопровідно-каналізаційного господарства</t>
  </si>
  <si>
    <t>1216030</t>
  </si>
  <si>
    <t>6030</t>
  </si>
  <si>
    <t>Організація благоустрою населених пунктів</t>
  </si>
  <si>
    <t>1217426</t>
  </si>
  <si>
    <t>7426</t>
  </si>
  <si>
    <t>Інші заходи у сфері електротранспорту</t>
  </si>
  <si>
    <t>0453</t>
  </si>
  <si>
    <t>1217461</t>
  </si>
  <si>
    <t>7461</t>
  </si>
  <si>
    <t>Утримання та розвиток автомобільних доріг та дорожньої інфраструктури за рахунок коштів місцевого бюджету</t>
  </si>
  <si>
    <t>0456</t>
  </si>
  <si>
    <t>1217640</t>
  </si>
  <si>
    <t>1218110</t>
  </si>
  <si>
    <t>8110</t>
  </si>
  <si>
    <t>1216020</t>
  </si>
  <si>
    <t>6020</t>
  </si>
  <si>
    <t>Забезпечення функціонування підприємств, установ та організацій, що виробляють, виконують та/або надають житлово-комунальні послуги</t>
  </si>
  <si>
    <t>Членські внески до асоціацій органів місцевого самоврядування</t>
  </si>
  <si>
    <t>0217680</t>
  </si>
  <si>
    <t>7680</t>
  </si>
  <si>
    <t>1216015</t>
  </si>
  <si>
    <t>6015</t>
  </si>
  <si>
    <t>Забезпечення надійної та безперебійної експлуатації ліфтів</t>
  </si>
  <si>
    <t>0443</t>
  </si>
  <si>
    <t>1217310</t>
  </si>
  <si>
    <t>7310</t>
  </si>
  <si>
    <r>
      <t>Будівництвоˈ об'єктів житлово-комунального господарства</t>
    </r>
    <r>
      <rPr>
        <sz val="36"/>
        <rFont val="Calibri"/>
        <family val="2"/>
        <charset val="204"/>
      </rPr>
      <t>ˈ</t>
    </r>
  </si>
  <si>
    <r>
      <t xml:space="preserve">1 </t>
    </r>
    <r>
      <rPr>
        <sz val="20"/>
        <rFont val="Times New Roman"/>
        <family val="1"/>
        <charset val="204"/>
      </rPr>
      <t>Будівни́цтво — спорудження нового об'єкта, реконструкція, розширення, добудова, реставрація об'єктів, виконання монтажних робіт за рахунок власних коштів місцевих бюджетів.</t>
    </r>
  </si>
  <si>
    <t>1217670</t>
  </si>
  <si>
    <t>Здійснення  заходів із землеустрою</t>
  </si>
  <si>
    <t>3617130</t>
  </si>
  <si>
    <t>7130</t>
  </si>
  <si>
    <t>0421</t>
  </si>
  <si>
    <t>1617350</t>
  </si>
  <si>
    <t>7350</t>
  </si>
  <si>
    <t>Розроблення схем планування та забудови територій (містобудівної документації)</t>
  </si>
  <si>
    <t>2818311</t>
  </si>
  <si>
    <t>8311</t>
  </si>
  <si>
    <t>2818330</t>
  </si>
  <si>
    <t>8330</t>
  </si>
  <si>
    <t xml:space="preserve">Інша діяльність у сфері екології та охорони природних ресурсів </t>
  </si>
  <si>
    <t>Будівництвоˈ  освітніх установ та закладів</t>
  </si>
  <si>
    <t>1517321</t>
  </si>
  <si>
    <t>7321</t>
  </si>
  <si>
    <t>1517325</t>
  </si>
  <si>
    <t>7325</t>
  </si>
  <si>
    <t>Будівництвоˈ споруд, установ та закладів фізичної культури і спорту</t>
  </si>
  <si>
    <t>1517330</t>
  </si>
  <si>
    <t>7330</t>
  </si>
  <si>
    <t>Додаток  № 7</t>
  </si>
  <si>
    <t xml:space="preserve">до рішення № </t>
  </si>
  <si>
    <t xml:space="preserve">від    </t>
  </si>
  <si>
    <t>Перелік природоохоронних заходів,</t>
  </si>
  <si>
    <t>які будуть фінансуватися з міського фонду охорони</t>
  </si>
  <si>
    <t>№ п/п</t>
  </si>
  <si>
    <t>Код КПКВ</t>
  </si>
  <si>
    <t>Заходи, на які виділяються кошти</t>
  </si>
  <si>
    <t>ВСЬОГО</t>
  </si>
  <si>
    <t>Будівництвоˈ об'єктів житлово-комунального господарства</t>
  </si>
  <si>
    <t>Реконструкція прв. Перемоги з улаштуванням виїзду на вул.Свободи</t>
  </si>
  <si>
    <t xml:space="preserve">Будівництво внутрішньоквартального проїзду від вул.Залізняка до будинку 16/2 по вул.Лісогринівецькій </t>
  </si>
  <si>
    <t>Розробка проектно-кошторисної документації на реконструкцію парку культури та відпочинку ім. М.Чекмана</t>
  </si>
  <si>
    <t>Виготовлення актів добору земельної ділянки, яка або право на яку виставляються на земельні торги</t>
  </si>
  <si>
    <t>Проведення експертної грошової оцінки земельної ділянки несільськогосподарського призначення</t>
  </si>
  <si>
    <r>
      <t xml:space="preserve">1 </t>
    </r>
    <r>
      <rPr>
        <sz val="10"/>
        <rFont val="Times New Roman"/>
        <family val="1"/>
        <charset val="204"/>
      </rPr>
      <t>Будівни́цтво — спорудження нового об'єкта, реконструкція, розширення, добудова, реставрація об'єктів, виконання монтажних робіт за рахунок власних коштів місцевих бюджетів.</t>
    </r>
  </si>
  <si>
    <t>0217670</t>
  </si>
  <si>
    <t>%</t>
  </si>
  <si>
    <t>Субвенція з місцевого бюджету на виплату допомоги сім'ям з дітьми, малозабезпеченим сім'ям, особам, які не мають права на пенсію, особам з інвалідністю, дітям з інвалідністю, тимчасової державної допомоги дітям, тимчасової державної соціальної допомоги непрацюючій особі, яка досягла загального пенсійного віку, але не набула права на пенсійну виплату, та допомоги по догляду за особами з інвалідністю I чи II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 за рахунок відповідної субвенції з державного бюджету </t>
  </si>
  <si>
    <t xml:space="preserve">Субвенція з місцевого бюджету на 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вивезення побутового сміття та рідких нечистот за рахунок відповідної субвенції з державного бюджету </t>
  </si>
  <si>
    <t>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t>
  </si>
  <si>
    <t>Субвенція з місцевого бюджету на виплату державної соціальної допомоги на дітей-сиріт та дітей, позбавлених батьківського піклування,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дитиною", оплату послуг із здійснення патронату над дитиною та виплату соціальної допомоги на утримання дитини в сім'ї патронатного вихователя за рахунок відповідної субвенції з державного бюджету</t>
  </si>
  <si>
    <t>Забезпечення діяльності інших закладів у сфері освіти</t>
  </si>
  <si>
    <t>0611161</t>
  </si>
  <si>
    <t>1161</t>
  </si>
  <si>
    <t>Забезпечення діяльності інших закладів у сфері охорони здоров’я</t>
  </si>
  <si>
    <t>Інші програми та заходи у сфері охорони здоров’я</t>
  </si>
  <si>
    <t>0712151</t>
  </si>
  <si>
    <t>0712152</t>
  </si>
  <si>
    <t>2151</t>
  </si>
  <si>
    <t>2152</t>
  </si>
  <si>
    <t>Надання допомоги по догляду за особами з інвалідністю I чи II групи внаслідок психічного розладу</t>
  </si>
  <si>
    <t>Видатки на поховання учасників бойових дій та осіб з інвалідністю внаслідок війни</t>
  </si>
  <si>
    <t xml:space="preserve">Надання реабілітаційних послуг особам з інвалідністю та дітям з інвалідністю </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</si>
  <si>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</si>
  <si>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0813171</t>
  </si>
  <si>
    <t>3171</t>
  </si>
  <si>
    <t>0813172</t>
  </si>
  <si>
    <t>3172</t>
  </si>
  <si>
    <t>0813192</t>
  </si>
  <si>
    <t>3192</t>
  </si>
  <si>
    <t>Виплата державної соціальної допомоги на дітей-сиріт та дітей, позбавлених батьківського піклування, у дитячих будинках сімейного типу та прийомних сім'ях, грошового забезпечення батькам-вихователям і прийомним батькам за надання соціальних послуг у дитячих будинках</t>
  </si>
  <si>
    <t>0813241</t>
  </si>
  <si>
    <t>0813242</t>
  </si>
  <si>
    <t>3241</t>
  </si>
  <si>
    <t>3242</t>
  </si>
  <si>
    <t>Забезпечення діяльності інших закладів у сфері соціального захисту і соціального забезпечення</t>
  </si>
  <si>
    <t>Інші заходи у сфері соціального захисту і соціального забезпечення</t>
  </si>
  <si>
    <t xml:space="preserve">Забезпечення діяльності інших закладів в галузі культури і мистецтва </t>
  </si>
  <si>
    <t>1014081</t>
  </si>
  <si>
    <t>4081</t>
  </si>
  <si>
    <t>1014082</t>
  </si>
  <si>
    <t>4082</t>
  </si>
  <si>
    <t>Інші заходи в галузі культури і мистецтва</t>
  </si>
  <si>
    <t>Інші програми та заходи у сфері освіти</t>
  </si>
  <si>
    <t>0611162</t>
  </si>
  <si>
    <t>1162</t>
  </si>
  <si>
    <t>7691</t>
  </si>
  <si>
    <t>0217691</t>
  </si>
  <si>
    <t>Заходи із запобігання та ліквідації надзвичайних ситуацій та наслідків стихійного лиха</t>
  </si>
  <si>
    <t>Витрати, пов’язані з наданням та обслуговуванням пільгових довгострокових кредитів, наданих громадянам на будівництво/реконструкцію/придбання житла</t>
  </si>
  <si>
    <t>0610</t>
  </si>
  <si>
    <t>6084</t>
  </si>
  <si>
    <t>1116084</t>
  </si>
  <si>
    <t xml:space="preserve">Кошти від продажу земельних ділянок  несільськогосподарського призначення, що перебувають у державній або комунальній власності </t>
  </si>
  <si>
    <t xml:space="preserve">Інші субвенції з місцевого  бюджету, в тому числі: </t>
  </si>
  <si>
    <t xml:space="preserve">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дотації з державного бюджету </t>
  </si>
  <si>
    <t xml:space="preserve">Дотації з місцевих бюджетів іншим місцевим бюджетам </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</si>
  <si>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фонди, утворені Верховною Радою Автономної Республіки Крим, органами</t>
  </si>
  <si>
    <t xml:space="preserve">  місцевого самоврядування і місцевими органами виконавчої влади</t>
  </si>
  <si>
    <t>Амбулаторно-поліклінічна допомога населенню, крім первинної медичної допомоги</t>
  </si>
  <si>
    <t>0726</t>
  </si>
  <si>
    <t>0813083</t>
  </si>
  <si>
    <t>3083</t>
  </si>
  <si>
    <t>Надання державної соціальної допомоги особам з інвалідністю з дитинства та дітям з інвалідністю</t>
  </si>
  <si>
    <t>0813081</t>
  </si>
  <si>
    <t>3081</t>
  </si>
  <si>
    <t>0813085</t>
  </si>
  <si>
    <t>3085</t>
  </si>
  <si>
    <t>0813084</t>
  </si>
  <si>
    <t>3084</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</si>
  <si>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</si>
  <si>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</si>
  <si>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</si>
  <si>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Встановлення телефонів особам з інвалідністю I і II груп</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</si>
  <si>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</si>
  <si>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3180</t>
  </si>
  <si>
    <t>0813180</t>
  </si>
  <si>
    <t>Надання фінансової підтримки громадським організаціям ветеранів і осіб з інвалідністю, діяльність яких має соціальну спрямованість</t>
  </si>
  <si>
    <t>Проведення навчально-тренувальних зборів і змагань та заходів зі спорту осіб з інвалідністю</t>
  </si>
  <si>
    <t>2717370</t>
  </si>
  <si>
    <t>7370</t>
  </si>
  <si>
    <t>Будівництво на кладовищі надгробків на могилах загиблих учасників АТО</t>
  </si>
  <si>
    <t>1113133</t>
  </si>
  <si>
    <t>3133</t>
  </si>
  <si>
    <t>Інші заходи та заклади молодіжної політики</t>
  </si>
  <si>
    <t>Управління економіки Хмельницької міської ради (головний розпорядник)</t>
  </si>
  <si>
    <t>Управління економіки Хмельницької міської ради (відповідальний виконавець)</t>
  </si>
  <si>
    <t>Управління земельних ресурсів та земельної реформи департаменту архітектури, містобудування та земельних ресурсів (головний розпорядник)</t>
  </si>
  <si>
    <t>Управління земельних ресурсів та земельної реформи департаменту архітектури, містобудування та земельних ресурсів (відповідальний розпорядник)</t>
  </si>
  <si>
    <t xml:space="preserve">Зовнішнє фінансування </t>
  </si>
  <si>
    <t xml:space="preserve">Позики, надані міжнародними організаціями </t>
  </si>
  <si>
    <t>Одержано позик</t>
  </si>
  <si>
    <t xml:space="preserve">Погашено позик </t>
  </si>
  <si>
    <t>Зовнішні запозичення</t>
  </si>
  <si>
    <t xml:space="preserve">Середньострокові зобов"язання </t>
  </si>
  <si>
    <t xml:space="preserve">Погашення </t>
  </si>
  <si>
    <t>Зовнішні зобов"язання</t>
  </si>
  <si>
    <t>0170</t>
  </si>
  <si>
    <t>Обслуговування місцевого боргу</t>
  </si>
  <si>
    <t>0712144</t>
  </si>
  <si>
    <t>2144</t>
  </si>
  <si>
    <t>Централізовані заходи з лікування хворих на цукровий та
нецукровий діабет</t>
  </si>
  <si>
    <t>Відшкодування вартості лікарських засобів для лікування
окремих захворювань</t>
  </si>
  <si>
    <t>2146</t>
  </si>
  <si>
    <t>0712146</t>
  </si>
  <si>
    <t>1118841</t>
  </si>
  <si>
    <t>1118842</t>
  </si>
  <si>
    <t>8841</t>
  </si>
  <si>
    <t>8842</t>
  </si>
  <si>
    <t>9770</t>
  </si>
  <si>
    <t>Інші субвенції з місцевого бюджету</t>
  </si>
  <si>
    <t xml:space="preserve">Виготовлення проектно-кошторисної документації на будівництво багаторівневого паркінгу з вбудованими громадськими приміщеннями на вул. Проскурівського підпілля, 34 в м.Хмельницькому </t>
  </si>
  <si>
    <t>Програма створення та розвитку індустріального парку "Хмельницький"</t>
  </si>
  <si>
    <t>Програма підтримки книговидання місцевих авторів та популяризації української книги у м.Хмельницькому на 2018-2020 роки "Читай українською"</t>
  </si>
  <si>
    <t>6082</t>
  </si>
  <si>
    <t>Придбання житла для окремих категорій населення відповідно до законодавства</t>
  </si>
  <si>
    <t>0816082</t>
  </si>
  <si>
    <t>Створення цифрових інженерно-топографічних планів масштабу 1:2000 з цифровою точністю 1:500 та створення 3D будівель міста</t>
  </si>
  <si>
    <t>3617650</t>
  </si>
  <si>
    <t>7650</t>
  </si>
  <si>
    <t>Проведення експертної грошової оцінки земельної ділянки чи права на неї</t>
  </si>
  <si>
    <t>Проведення аерофототопографічної зйомки території міста Хмельницького</t>
  </si>
  <si>
    <t>Заходи з озеленення міста</t>
  </si>
  <si>
    <t>0813082</t>
  </si>
  <si>
    <t>3082</t>
  </si>
  <si>
    <t>Надання державної соціальної допомоги особам, які не мають права на пенсію, та особам з інвалідністю, державної соціальної допомоги на догляд</t>
  </si>
  <si>
    <t>Будівництво дошкільного навчального закладу на 120 місць по провулку Шостаковича, 28-А в м. Хмельницькому</t>
  </si>
  <si>
    <t>Реконструкція приміщень НВО №1 по вул. Старокостянтинівське шосе, 3Б в м. Хмельницькому (в тому числі коригування проектно-кошторисної документації)</t>
  </si>
  <si>
    <t xml:space="preserve">Будівництво Палацу спорту по вул.Прибузькій, 5/1А в м.Хмельницькому, в т.ч. виготовлення проектно-кошторисної документації </t>
  </si>
  <si>
    <t>Будівництво магістральної дороги на вул. Січових стрільців в м. Хмельницькому</t>
  </si>
  <si>
    <t>Реконструкція  вбудовано-прибудованої аптеки під адміністративне приміщення управління адміністративних послуг Хмельницької міської ради  по вул. Кам"янецькій, 38 в м. Хмельницькому</t>
  </si>
  <si>
    <t>Внески до статутного капіталу ХКП "Спецкомунтранс" (придбання контейнерів)</t>
  </si>
  <si>
    <t>Будівництво свердловини для господарсько-питного водопостачання ПНЗ ДЮОК "Чайка"</t>
  </si>
  <si>
    <t>Будівництво навчально-виховного комплексу на вул. Залізняка, 32 в м.Хмельницькому</t>
  </si>
  <si>
    <t>Будівництво самопливного і напірного колекторів та каналізаційної насосної станції продуктивністю 1500 куб.м/добу на житловому масиві "Лезнево 1,2" в м.Хмельницькому</t>
  </si>
  <si>
    <t>Виготовлення проектно-кошторисної документації  на будівництво переходу через залізницю в продовження Старокостянтинівського шосе в м.Хмельницькому</t>
  </si>
  <si>
    <t>Надання загальної середньої освіти загальноосвітніми навчальними закладами (в т. ч. школою-дитячим садком, інтернатом при школі), спеціалізованими школами, ліцеями, гімназіями, колегіумами</t>
  </si>
  <si>
    <t>Виготовлення проектно-кошторисної документації на будівництво  вулиці від вулиці Степана Бандери до вулиці Західно-Окружної в м. Хмельницькому</t>
  </si>
  <si>
    <t>Виготовлення проектно-кошторисної документації на будівництво вулиці  Лісогринівецької (від вул. С.Бандери до Старокостянтинівського шосе) в м. Хмельницькому</t>
  </si>
  <si>
    <t>Організація та проведення громадських робіт</t>
  </si>
  <si>
    <t>3210</t>
  </si>
  <si>
    <t>1050</t>
  </si>
  <si>
    <t>Управління капітального будівництва Департаменту архітектури, містобудування та земельних ресурсів Хмельницької міської ради (відповідальний виконавець)</t>
  </si>
  <si>
    <t>Управління капітального будівництва Департаменту архітектури, містобудування та земельних ресурсів Хмельницької міської ради (головний розпорядник)</t>
  </si>
  <si>
    <t xml:space="preserve">Реконструкція з добудовою їдальні до існуючого приміщення спеціалізованої загальноосвітньої школи І-ІІІ ступенів №8 по вул. Я.Гальчевського, 34 в м.Хмельницькому </t>
  </si>
  <si>
    <t xml:space="preserve">Плата за встановлення земельного сервітуту </t>
  </si>
  <si>
    <t xml:space="preserve">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t>
  </si>
  <si>
    <t>1119770</t>
  </si>
  <si>
    <t xml:space="preserve"> Реконструкція з добудовою приміщень Хмельницького ліцею №17 під спортивну залу на вул.Героїв Майдану, 5 в м.Хмельницькому (в т.ч. виготовлення проектно-кошторисної документації)</t>
  </si>
  <si>
    <t>1216012</t>
  </si>
  <si>
    <t>6012</t>
  </si>
  <si>
    <t>Забезпечення діяльності з виробництва, транспортування, постачання теплової енергії</t>
  </si>
  <si>
    <t>Доходи  бюджету м. Хмельницького на 2019 рік</t>
  </si>
  <si>
    <t>на 2019 рік</t>
  </si>
  <si>
    <t>Залишок коштів на 01.01.2019 року</t>
  </si>
  <si>
    <t>Найменування згідно з Класифікацією фінансування бюджету</t>
  </si>
  <si>
    <t xml:space="preserve">Фінансування за типом кредитора </t>
  </si>
  <si>
    <t>Загальне фінансування</t>
  </si>
  <si>
    <t>Х</t>
  </si>
  <si>
    <t xml:space="preserve">Фінансування за типом боргового зобов'язання </t>
  </si>
  <si>
    <t>Усього</t>
  </si>
  <si>
    <t>усього</t>
  </si>
  <si>
    <t>у тому числі бюджет розвитку</t>
  </si>
  <si>
    <t xml:space="preserve">Фінансування бюджету міста Хмельницького на 2019 рік </t>
  </si>
  <si>
    <t>видатків бюджету міста Хмельницького на 2019 рік</t>
  </si>
  <si>
    <t>(грн.)</t>
  </si>
  <si>
    <t>Код Типової програмної класифікації видатків та кредитування місцевих бюджетів</t>
  </si>
  <si>
    <t>Найменування головного розпорядника коштів бюджету міста Хмельницького / відповідального виконавця, найменування бюджетної програми згідно з Типовою програмною класифікацією видатків та кредитування місцевих бюджетів</t>
  </si>
  <si>
    <t>Кредитування бюджету міста Хмельницького у 2019 році</t>
  </si>
  <si>
    <t>загальний фонд</t>
  </si>
  <si>
    <t>спеціальний фонд</t>
  </si>
  <si>
    <t>разом</t>
  </si>
  <si>
    <t>Кредитування, усього</t>
  </si>
  <si>
    <t>Код Функціональної класифікації видатків та кредитування бюджету</t>
  </si>
  <si>
    <t>УСЬОГО</t>
  </si>
  <si>
    <t>Розподіл коштів бюджету розвитку за об'єктами у 2019 році</t>
  </si>
  <si>
    <t>5</t>
  </si>
  <si>
    <t>6</t>
  </si>
  <si>
    <t>7</t>
  </si>
  <si>
    <t>8</t>
  </si>
  <si>
    <t>9</t>
  </si>
  <si>
    <t>10</t>
  </si>
  <si>
    <t>11</t>
  </si>
  <si>
    <t>12</t>
  </si>
  <si>
    <t>13</t>
  </si>
  <si>
    <t>14</t>
  </si>
  <si>
    <t>15</t>
  </si>
  <si>
    <t>16</t>
  </si>
  <si>
    <t>Найменування об’єкта відповідно  до проектно-кошторисної документації</t>
  </si>
  <si>
    <t>Строк реалізації об'єкта (рік початку і завершення)</t>
  </si>
  <si>
    <t>Загальна вартість об'єкта, гривень</t>
  </si>
  <si>
    <t>Обсяг видатків бюджету розвитку, гривень</t>
  </si>
  <si>
    <t>Рівень будівельної готовності об'єкта на кінець бюджетного періоду, %</t>
  </si>
  <si>
    <t>навколишнього природного середовища у 2019 році</t>
  </si>
  <si>
    <t>Розподіл витрат бюджету міста Хмельницького на реалізацію місцевих/регіональних програм у 2019 році</t>
  </si>
  <si>
    <t>(грн)</t>
  </si>
  <si>
    <t>Сума, грн</t>
  </si>
  <si>
    <t>Найменування місцевої/регіональної програми</t>
  </si>
  <si>
    <t>Додаток №8</t>
  </si>
  <si>
    <t>Дата та номер документа, яким затверджено місцеву/регіональну програму</t>
  </si>
  <si>
    <t>Виготовлення проектно-кошторисної документації на будівництво міжквартального проїзду між вулицями Зарічанською та Прибузькою (повз стадіону Політехнічного коледжу) у м.Хмельницькому</t>
  </si>
  <si>
    <t>Наукові дослідження, проектні та проектно-конструкторські розроблення (виготовлення проекту на установлення обладнання для очищення газопилового потоку від забруднюючих речовин, що викидається в атмосферне повітря)</t>
  </si>
  <si>
    <t>Заходи щодо відновлення і підтримання сприятливого гідрологічного режиму та санітарного стану водойм міста - капітальний ремонт гідроспоруди на річці Південний Буг в районі вул.Трудової з розробкою проектно-кошторисної документації</t>
  </si>
  <si>
    <t>Придбання систем, приладів для здійснення контролю за якістю поверхневих та підземних вод на території міста (придбання муфельної печі ФНОЛ7.2/1100 для лабораторних досліджень питної води)</t>
  </si>
  <si>
    <t>Проведення науково-технічних конференцій і семінарів, організація виставок, фестивалів та інших заходів щодо пропаганди охорони навколишнього природного середовища, видання поліграфічної продукції з екологічної тематики тощо</t>
  </si>
  <si>
    <t>Розроблення проекту землеустрою щодо встановлення меж міста Хмельницького</t>
  </si>
  <si>
    <t>2017 - 2020 роки</t>
  </si>
  <si>
    <t>Рішення 6-ї сесії Хмельницької міської ради від 18.05.2016 року №16</t>
  </si>
  <si>
    <t xml:space="preserve">Програма
підтримки обдарованих дітей м.Хмельницького 
</t>
  </si>
  <si>
    <t>Рішення 19-ї сесії Хмельницької міської ради від 21.02.2001 року №6</t>
  </si>
  <si>
    <t>Будівництво пандусу на території стадіону Рекреаційного центру "Берег надії" за адресою вул. Підлісна 4/1, с. Головчинці Летичівського району Хмельницької області (в т.ч. виготовлення ПКД)</t>
  </si>
  <si>
    <t>0817323</t>
  </si>
  <si>
    <t>7323</t>
  </si>
  <si>
    <t>Будівництвоˈ установ та закладів соціальної сфери</t>
  </si>
  <si>
    <t>Будівництво приміщення відділення тимчасового цілодобового перебування Хмельницького міського територіального центру соціального обслуговування (надання соціальних послуг) по вул. Перемоги, 7-А в м.Хмельницькому</t>
  </si>
  <si>
    <t>Рішення 11-ї сесії Хмельницької міської ради від 25.01.2017 року №20</t>
  </si>
  <si>
    <t>Рішення 20-ї сесії Хмельницької міської ради від 31.01.2018 року №82</t>
  </si>
  <si>
    <t>Рішення позачергової 10-ї сесії Хмельницької міської ради від 29.12.2016 року №1</t>
  </si>
  <si>
    <t>Внески до статутного капіталу комунального підприємства по будівництву, ремонту та експлуатації доріг (Придбання вакуумногодорожньо-прибирального причіпу)</t>
  </si>
  <si>
    <t>Внески до статутного капіталу МКП "Хмельницькводоканал" (на виготовлення проектно-кошторисної документації з будівництва сучасних каналізаційних очисних споруд господарсько-побутових стоків м. Хмельницький, вул. Вінницьке шосе, 135)</t>
  </si>
  <si>
    <t>Оформлення передплати на газети організаціям інвалідів, ветеранів війни і праці, окремим категоріям громадян</t>
  </si>
  <si>
    <t>Рішення позачергової 10-ї сесії Хмельницької міської ради від 29.12.2016 року №4</t>
  </si>
  <si>
    <t>Рішення 19-ї сесії Хмельницької міської ради від 27.12.2017 року №25</t>
  </si>
  <si>
    <t>Будівництво мережі каналізації ЗОШ №19 м.р. Ружична м.Хмельницький</t>
  </si>
  <si>
    <t>Рішення позачергової 10-ї сесії Хмельницької міської ради від 29.12.2016 року №2</t>
  </si>
  <si>
    <t>1217413</t>
  </si>
  <si>
    <t>7413</t>
  </si>
  <si>
    <t>0451</t>
  </si>
  <si>
    <t>Інші заходи у сфері автотранспорту</t>
  </si>
  <si>
    <t>0810160</t>
  </si>
  <si>
    <t>0710160</t>
  </si>
  <si>
    <t>Програма утримання та розвитку житлово-комунального господарства та благоустрою м.Хмельницького на 2017-2020 роки</t>
  </si>
  <si>
    <t>Програма співфінансування робіт з капітального ремонту багатоквартирних житлових будинків міста Хмельницького на 2017-2022 роки</t>
  </si>
  <si>
    <t>Програма розвитку міського електротранспорту м. Хмельницького на 2016-2020 роки</t>
  </si>
  <si>
    <t>Програма утримання та розвитку житлово-комунального господарства та благоустрою м.Хмельницького на 2017-2020 роки                      Програма сприяння впровадження відновлювальних джерел енергії власниками приватних житлових будинків м. Хмельницького на 2018-2029 роки</t>
  </si>
  <si>
    <t>Рішення позачергової 10-ї сесії Хмельницької міської ради від 29.12.2016 року № 6</t>
  </si>
  <si>
    <t>Рішення 6-ї сесії Хмельницької міської ради від 18.05.2016 року № 37</t>
  </si>
  <si>
    <t>Рішення 4-ї сесії Хмельницької міськї ради від 27.01.2016 року №57</t>
  </si>
  <si>
    <t>1510160</t>
  </si>
  <si>
    <t>3610160</t>
  </si>
  <si>
    <t>1610160</t>
  </si>
  <si>
    <t>3710160</t>
  </si>
  <si>
    <t>1210160</t>
  </si>
  <si>
    <t>2810160</t>
  </si>
  <si>
    <t>Рішення 48-ї сесії Хмельницької міської ради від 04.03.2015 року №80</t>
  </si>
  <si>
    <t>Програма впровадження електронного урядування у Хмельницькій  міській раді на 2015-2020 роки (із змінами і доповненнями)</t>
  </si>
  <si>
    <t>Рішення 19-ї сесії Хмельницької міської ради від 27.12.2017 року №48</t>
  </si>
  <si>
    <t>Програма розвитку міського комунального підприємства "Муніципальна телерадіокомпанія "Місто"" на 2017-2020 роки (із змінами і доповненнями)</t>
  </si>
  <si>
    <t>0817691</t>
  </si>
  <si>
    <t>1217691</t>
  </si>
  <si>
    <t>Рішення 8-ї сесії Хмельницької міської ради від 21.09.2016 року №3</t>
  </si>
  <si>
    <t>Програма бюджетування за участі громадськості (Бюджет участі) міста Хмельницького на 2017-2019 роки (із змінами і доповненнями)</t>
  </si>
  <si>
    <t>Рішення 21-ї сесії Хмельницької міської ради від 11.04.2018 року №11</t>
  </si>
  <si>
    <t>Програма міжнародного співробітництва та промоції міста Хмельницького на 2016-2020 роки (із змінами і доповненнями)</t>
  </si>
  <si>
    <t>Рішення 7-ї сесії Хмельницької міської ради від 20.07.2016 року №76</t>
  </si>
  <si>
    <t>Внески до статутного капіталу ХКП "Спецкомунтранс" (придбання обладнання)</t>
  </si>
  <si>
    <t>Програма розвитку освіти міста Хмельницького на 2017-2021 роки (із змінами і доповненнями)</t>
  </si>
  <si>
    <t>Комплексна програма «Піклування» в м.Хмельницькому на 2017 - 2021 роки (із змінами і доповненнями)</t>
  </si>
  <si>
    <t>Програма охорони довкілля міста Хмельницького на 2016-2020 роки</t>
  </si>
  <si>
    <t>Рішення 5-ї сесії Хмельницької міської ради від 16.0.2016 року №31  (із змінами і доповненнями)</t>
  </si>
  <si>
    <t>у тому числі  бюджет розвитку</t>
  </si>
  <si>
    <t xml:space="preserve">Усього доходів </t>
  </si>
  <si>
    <t>Офіційні трансферти</t>
  </si>
  <si>
    <t xml:space="preserve">Внески до статутного капіталу МКП "Хмельницькводоканал" (на виготовлення проектно-кошторисної документації з реконструкції ГКНС з переоснащенням системи вентиляції, опалення, будівельних конструкцій і комунікацій </t>
  </si>
  <si>
    <t>Внески до статутного капіталу МКП "Хмельницькводоканал" (на виготовлення проектно-кошторисної документації на будівництво мереж каналізації від прв. Гавришка, 29/1 до вул. Вигодовського, 41 м-н Ружична м. Хмельницький</t>
  </si>
  <si>
    <t>План зонування території міста Хмельницький (зонінг)</t>
  </si>
  <si>
    <t>2019 рік</t>
  </si>
  <si>
    <t>Додаток 9 до рішення  </t>
  </si>
  <si>
    <t>ПЕРЕЛІК </t>
  </si>
  <si>
    <t>кредитів (позик), що залучаються Хмельницькою міською радою до спеціального фонду місцевого бюджету у 2019 році від міжнародних фінансових організацій для реалізації інвестиційних проектів</t>
  </si>
  <si>
    <t>Код Програмної класифікації видатків та кредитування місцевих бюджетів</t>
  </si>
  <si>
    <t>Код Типової програмної класифікації видатків та кредитування місцевих бюджетів</t>
  </si>
  <si>
    <t>Код Функціональної класифікації видатків та кредитування бюджету</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</si>
  <si>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місцевих бюджетів</t>
  </si>
  <si>
    <t>Найменування кредитора</t>
  </si>
  <si>
    <t>Найменування інвестиційного проекту, що реалізується за рахунок кредиту (позики)</t>
  </si>
  <si>
    <t>Номер та дата договору</t>
  </si>
  <si>
    <t>Термін кредитування</t>
  </si>
  <si>
    <t>Загальний обсяг кредиту (позики)</t>
  </si>
  <si>
    <t>Обсяг залучення кредиту (позики) у плановому році, тис. гривень</t>
  </si>
  <si>
    <t>назва валюти, в якій залучається кредит (позика) </t>
  </si>
  <si>
    <t>загальний обсяг кредиту (позики), тис. одиниць </t>
  </si>
  <si>
    <t>загальний обсяг залучення кредиту (позики), тис. гривень </t>
  </si>
  <si>
    <t>Департамент освіти та науки ХМР</t>
  </si>
  <si>
    <t xml:space="preserve">НЕФКО </t>
  </si>
  <si>
    <t>Підвищення енергетичної ефективності закладів бюджетної сфери міста Хмельницького</t>
  </si>
  <si>
    <t xml:space="preserve"> № ESC 2/16 27.12.2016 р.</t>
  </si>
  <si>
    <t>5 років</t>
  </si>
  <si>
    <t>гривня</t>
  </si>
  <si>
    <t>×</t>
  </si>
  <si>
    <t xml:space="preserve">Субвенція з місцевого бюджету на здійснення переданих видатків у сфері охорони здоров"я за рахунок коштів медичної субвенції </t>
  </si>
  <si>
    <t xml:space="preserve">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 </t>
  </si>
  <si>
    <t>0813210</t>
  </si>
  <si>
    <t>2006 - 2020 роки</t>
  </si>
  <si>
    <t>2018 - 2019 роки</t>
  </si>
  <si>
    <t>2016 - 2019 роки</t>
  </si>
  <si>
    <t>2012 - 2019 роки</t>
  </si>
  <si>
    <t>2018 - 2020 роки</t>
  </si>
  <si>
    <t>2015 - 2019 роки</t>
  </si>
  <si>
    <t>2013 - 2020 роки</t>
  </si>
  <si>
    <t>Будівництво пандусу для забезпечення доступності до території стадіону та ігрових майданчиків Рекреаційного центру "Берег надії" за адресою вул. Підлісна 4/1, с. Головчинці Летичівського району Хмельницької області (в т.ч. виготовлення ПКД)</t>
  </si>
  <si>
    <t>Будівництво спортивного майданчика для міні-футболу зі штучним покриттям на території Хмельницької спеціалізованої загальноосвітньої школи № 19 І-ІІІ ступенів імені академіка Михайла Павловського по вул. Кам’янецька, 164 у м. Хмельницькому</t>
  </si>
  <si>
    <t xml:space="preserve">   - на  забезпечення медикаментами відділень Хмельницької міської дитячої лікарні </t>
  </si>
  <si>
    <t xml:space="preserve">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(підтримка осіб з особливими освітніми потребами) </t>
  </si>
  <si>
    <t>Попередження виникнення надзвичайних ситуацій та забезпечення  пожежної і техногенної безпеки об"єктів усіх форм власності,розвитку інфраструктури пожежно-рятувальних підрозділів у м.Хмельницькому на 2016-2020 роки</t>
  </si>
  <si>
    <t xml:space="preserve"> сімейного типу та прийомних сім'ях за принципом "гроші ходять за дитиною" та оплата послуг із здійснення патронату над дитиною та виплата соціальної допомоги на утримання дитини в сім'ї патронатного вихователя,</t>
  </si>
  <si>
    <t>підтримка малих групових будинків</t>
  </si>
  <si>
    <t>Будівництво 1 інших об'єктів комунальної власності</t>
  </si>
  <si>
    <t>Надання довгострокових кредитів громадянам на будівництво/реконструкцію/придбання житла</t>
  </si>
  <si>
    <t>Повернення довгострокових кредитів, наданих громадянам на будівництво/реконструкцію/придбання житла</t>
  </si>
  <si>
    <t>Програма зайнятості населення м. Хмельницького на 2018 - 2020 роки</t>
  </si>
  <si>
    <t>Рішення 22-ї сесії Хмельницької міської ради від 04.0.2018 року №5</t>
  </si>
  <si>
    <t>Програма економічного та соціального розвитку міста Хмельницького на 2019 рік</t>
  </si>
  <si>
    <t>Рішення 27-ї сесії Хмельницької міської ради від 14.12.2018 року №14</t>
  </si>
  <si>
    <t>Рішення позачергової 10-ї сесії Хмельницької міської ради від 29.12.2016 року № 6                     Рішення 19-ї сесії Хмельницької міської ради від 27.12.2017 р. № 39</t>
  </si>
  <si>
    <t xml:space="preserve">Програма розвитку підприємництва міста Хмельницького на 2019-2021 роки </t>
  </si>
  <si>
    <t>Рішення 27-ї сесії Хмельницької міської ради від 14.12.2018 року №16</t>
  </si>
  <si>
    <t>Програма фінансової підтримки комунальної установи Хмельницької міської ради "Агенція розвитку Хмельницького" на 2019-2021 роки</t>
  </si>
  <si>
    <t>Рішення 27-ї сесії Хмельницької міської ради від 14.12.2018 року №13</t>
  </si>
  <si>
    <t xml:space="preserve">Субвенція з державного бюджету місцевим бюджетам на здійснення заходів щодо соціально-економічного розвитку окремих територій </t>
  </si>
  <si>
    <t>Субвенція з місцевого бюджету за рахунок залишку коштів медичної субвенції, що утворився на початок бюджетного періоду</t>
  </si>
  <si>
    <t>Заходи щодо відновлення і підтримання сприятливого гідрологічного режиму та санітарного стану водойм міста: розроблення проектно-кошторисної документації "Капітальний ремонт, розчистка річки Південний Буг та водовідвідних каналів від вул. Трудової до Східної об‘їзної" з проходженням експертних процедур (ОВД, експертиза проекту тощо)</t>
  </si>
  <si>
    <t>Заходи щодо відновлення і підтримання сприятливого гідрологічного режиму та санітарного стану водойм міста: "Біологічна меліорація (зариблення водойм) в межах міста Хмельницького"</t>
  </si>
  <si>
    <t>2818320</t>
  </si>
  <si>
    <t>8320</t>
  </si>
  <si>
    <t>Проведення спеціальних заходів, спрямованих на запобігання знищенню чи пошкодженню природних комплексів територій та об‘єктів природно-заповідного фонду. Витрати на резервування територій для заповідання</t>
  </si>
  <si>
    <t>0611170</t>
  </si>
  <si>
    <t>1170</t>
  </si>
  <si>
    <t>Забезпечення діяльності інклюзивно-ресурсних центрів</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</si>
  <si>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</si>
  <si>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0613140</t>
  </si>
  <si>
    <t>3140</t>
  </si>
  <si>
    <t>Будівництво спортивного майданчика зі штучним покриттям НВК-4 по вул.Перемоги 3/1 в м.Хмельницькому, Хмельницької області</t>
  </si>
  <si>
    <t>1510180</t>
  </si>
  <si>
    <t>2019 - 2020 роки</t>
  </si>
  <si>
    <t>1210180</t>
  </si>
  <si>
    <t>Стара назва: Спортивний майданчик на території СЗОШ І-ІІІ ступенів №6 по провулку Володимирський, 12,  м.Хмельницький - будівництво</t>
  </si>
  <si>
    <t>1515043</t>
  </si>
  <si>
    <t>Створення нових, будівельно-ремонтні роботи існуючих палаців спорту та завершення розпочатих у попередньому періоді робіт з будівництва/реконструкції палаців спорту</t>
  </si>
  <si>
    <t>5043</t>
  </si>
  <si>
    <t>Реконструкція з добудовою до приміщення середньої загальноосвітньої школи І-ІІІ ступенів №18 ім. В.Чорновола по вул. Кам"янецькій, 119 в м.Хмельницькому</t>
  </si>
  <si>
    <t xml:space="preserve">   Будівництво Льодового палацу  по вул.Прибузькій, 7/3А в м.Хмельницькому, в т.ч. виготовлення проектно-кошторисної документації</t>
  </si>
  <si>
    <t>Будівництво спеціалізованого залу боксу на території спортивного комплексу "Поділля" ДЮСШ №1 по вул.Проскурівській, 81  в м.Хмельницькому</t>
  </si>
  <si>
    <t>Будівництво підпірної стінки біля 130-ти квартирного житлового  будинку по вул.Лісогринівецькій,16 в м.Хмельницькому</t>
  </si>
  <si>
    <t>Будівництвоˈ інших об'єктів комунальної власності</t>
  </si>
  <si>
    <t>Збереження природно-заповідного фонду</t>
  </si>
  <si>
    <t>0520</t>
  </si>
  <si>
    <t xml:space="preserve">Будівництво парку "Молодіжний" на вул. С. Бандери в м. Хмельницькому </t>
  </si>
  <si>
    <t>Внески до статутного капіталу ХКП "Спецкомунтранс" (виготовлення проектної документації на реконструкцію полігону твердих побутових відходів з метою запобігання виникнення надзвичайної екологічної ситуації за адресою м. Хмельницький вул. Проспект Миру, 7)</t>
  </si>
  <si>
    <t>Будівництво спортивного майданчика з штучним покриттям по пров. Володимирському, 12 в м. Хмельницькому</t>
  </si>
  <si>
    <t>Внески до статутного капіталу ХКП "Спецкомунтранс" (придбання земельної ділянки)</t>
  </si>
  <si>
    <t>Внески до статутного капіталу МКП "Хмельницькводоканал" (будівництво вуличних мереж водопостачання житлових будинків по пров. Старицького в м. Хмельницький)</t>
  </si>
  <si>
    <t>Внески до статутного капіталу МКП "Хмельницькводоканал" (будівництво вуличних мереж водопостачання житлових будинків по вул. Антона Шашкевича в м. Хмельницькій)</t>
  </si>
  <si>
    <t>Внески до статутного капіталу ХМКП "Муніципальна дружина" (Придбання нагрудних відеореєстраторів)</t>
  </si>
  <si>
    <t>Внески до статутного капіталу ХМКП "Муніципальна дружина" (Придбання автомобіля)</t>
  </si>
  <si>
    <t>Внески до статутного капіталу КП "Південно-Західні тепломережі" (Будівництво теплової мережі від ТК-111 до ТК - 114 по вул.Львівське шосе в м.Хмельницькому)</t>
  </si>
  <si>
    <t>Внески до статутного капіталу Міського комунального підприємства по утриманню нежитлових приміщень (капітальний ремонт приміщень міського військового комісаріату (Хмельницького міського територіального центру комплектації та соціальної підтримки) по вул. Проскурівській, 35 в м. Хмельницькому)</t>
  </si>
  <si>
    <t>1017670</t>
  </si>
  <si>
    <t>Реконструкція існуючої системи опалення Хмельницької ДМШ №3 по вул.Кармелюка, 8/1</t>
  </si>
  <si>
    <t>1217370</t>
  </si>
  <si>
    <t>Внески до статутного капіталу МКП "Хмельницькводоканал" (будівництво вуличних мереж водовідведення по вул.О.Кошового та Черняховського у м.Хмельницький)</t>
  </si>
  <si>
    <t>Внески до статутного капіталу МКП "Хмельницькводоканал" (будівництво вуличних мереж водовідведення напірних каналізаційних колекторів, каналізаційно- насосної станції, електропостачання КНС, мікрорайон Дубове у м.Хмельницький)</t>
  </si>
  <si>
    <t>Внески до статутного капіталу МКП "Хмельницькводоканал" (будівництво вуличних мереж водопостачання, мікрорайон Лезневе у м.Хмельницький)</t>
  </si>
  <si>
    <t xml:space="preserve">Управління з питань екології та контролю за благоустроєм міста Хмельницької міської ради (головний розпорядник) </t>
  </si>
  <si>
    <t xml:space="preserve">Управління з питань екології та контролю за благоустроєм міста Хмельницької міської ради (відповідальний виконавець) </t>
  </si>
  <si>
    <t>Управління архітектури та містобудування Департаменту архітектури, містобудування та земельних ресурсів Хмельницької міської ради (головний розпорядник)</t>
  </si>
  <si>
    <t>Управління архітектури та містобудування Департаменту архітектури, містобудування та земельних ресурсів Хмельницької міської ради (відповідальний виконавець)</t>
  </si>
  <si>
    <t>Управління земельних ресурсів та земельної реформи Департаменту архітектури, містобудування та земельних ресурсів Хмельницької міської ради (головний розпорядник)</t>
  </si>
  <si>
    <t>Управління земельних ресурсів та земельної реформи Департаменту архітектури, містобудування та земельних ресурсів Хмельницької міської ради (відповідальний розпорядник)</t>
  </si>
  <si>
    <t>0219770</t>
  </si>
  <si>
    <t>Субвенція з місцевого бюджету державному бюджету на виконання програм соціально-економічного розвитку регіонів</t>
  </si>
  <si>
    <t>0219800</t>
  </si>
  <si>
    <t>9800</t>
  </si>
  <si>
    <t>Будівництво мереж водопостачання вул.Молодіжної села Кошелівка Красилівського району Хмельницької області</t>
  </si>
  <si>
    <t>Програма висвітлення діяльності Хмельницької міської ради та її виконавчих органів на 2019 рік</t>
  </si>
  <si>
    <t>Рішення 29-ї сесії Хмельницької міської ради від 13.02.2019 року №103</t>
  </si>
  <si>
    <t>Реконструкція спортивного майданчика Національної академії Державної прикордонної служби України імені Богдана Хмельницького з влаштування футбольного поля (91 х 46) зі штучним покриттям по вулиці Шевченка, 46</t>
  </si>
  <si>
    <t>Рішення 20-ї сесії Хмельницької міської ради від 31.01.2018 року №2</t>
  </si>
  <si>
    <t>Програма
шефської допомоги військовим частинам Збройних Сил України, Національної гвардії України, які розташовані на території м. Хмельницького на 2018 - 2019 роки  (із змінами і доповненнями)</t>
  </si>
  <si>
    <t>Внески до статутного капіталу ХКП "Спецкомунтранс" (проектні роботи з оцінки впливу на довкілля (ОВНС) "Реконструкція полігону твердих побутових відходів з метою запобігання виникнення надзвичайної екологічної ситуації за адресою м. Хмельницький, вул. Проспект Миру, 7"</t>
  </si>
  <si>
    <t>Внески до статутного капіталу ХКП "Спецкомунтранс" (виготовлення містобудівного розрахунку по об`єкту: "Реконструкція полігону твердих побутових відходів за адресою м. Хмельницький, вул. Проспект Миру, 7")</t>
  </si>
  <si>
    <t>Рішення 6-ї сесії Хмельницької міської ради від 18.05.2016 року №3</t>
  </si>
  <si>
    <t>Програма
забезпечення охорони прав і свобод людини, профілактики злочинності та підтримання публічної безпеки і порядку на території міста Хмельницького на 2016 - 2020 роки (із змінами і доповненнями)</t>
  </si>
  <si>
    <t>Рішення 15-ї сесії Хмельницької міської ради від 31.05.2017 року №6</t>
  </si>
  <si>
    <t>Програма
щодо забезпечення належних комунально-побутових умов засуджених та осіб, узятих під варту, які утримуються в Хмельницькому слідчому ізоляторі, на 2017 - 2020 роки (із змінами і доповненнями)</t>
  </si>
  <si>
    <t>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у м. Хмельницькому на 2016 - 2020 роки (із змінами і доповненнями)</t>
  </si>
  <si>
    <t>Рішення 4-ї сесії Хмельницької міської ради від 27.01.2016 року №57</t>
  </si>
  <si>
    <t>Рішення 9-ї сесії Хмельницької міської ради від 26.10.2016 року №4</t>
  </si>
  <si>
    <t>Програма
військово-патріотичного виховання мешканців міста Хмельницького на 2016 - 2020 роки (із змінами і доповненнями)</t>
  </si>
  <si>
    <t>Комплексна програма мобілізації зусиль Хмельницької міської ради, її виконавчих органів та комунальних підприємств і Управління Державної міграційної служби України в Хмельницькій області по забезпеченню реалізації державної політики в сфері громадянства,</t>
  </si>
  <si>
    <t>Рішення 50-ї сесії Хмельницької міської ради від 27.05.2015 року №58</t>
  </si>
  <si>
    <t xml:space="preserve"> реєстрації фізичних осіб на 2015 - 2019 роки (із змінами і доповненнями)</t>
  </si>
  <si>
    <t>0717670</t>
  </si>
  <si>
    <t>Внески до статутного капіталу МКП "Хмельницькводоканал" (розроблення ПКД на будівництво мережі каналізації від вул. Польова, 51 по пров. Ентузіастів до вул. Івана Павла ІІ, 5, м-р. Гречани м. Хмельницький)</t>
  </si>
  <si>
    <t>0719770</t>
  </si>
  <si>
    <t>Реконструкція покрівлі з влаштуванням шатрового даху корпусу №2 Хмельницької міської лікарні по пров. Проскурівський, 1 в м. Хмельницькому (в тому числі виготовлення проектно-кошторисної документації)</t>
  </si>
  <si>
    <t>Будівництво дизельної електростанції (ДЕС) для резервного електропостачання відділення амбулаторного гемодіалізу Хмельницької міської лікарні по пров.Проскурівському, 1 в м.Хмельницькому (в тому числі виготовлення проектно-кошторисної документації)</t>
  </si>
  <si>
    <t>Протиаварійні роботи підвального приміщення адміністративної будівлі управління охорони здоров"я ХМР по вул. Грушевського, 64 м. Хмельницького (ремонтно-реставраційні роботи)</t>
  </si>
  <si>
    <t>Програма «Здоров’я хмельничан» на 2017-2021 роки (із змінами і доповненнями)</t>
  </si>
  <si>
    <t>0813086</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</si>
  <si>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</si>
  <si>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t>
  </si>
  <si>
    <t>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</si>
  <si>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Рішення 6-ї сесії Хмельницької міської ради від 18.05.2016 року №7</t>
  </si>
  <si>
    <t>Програма 
"Громадські ініціативи" м.Хмельницького на 2016 - 2020 роки (із змінами і доповненнями)</t>
  </si>
  <si>
    <t>1117670</t>
  </si>
  <si>
    <t>Завершення будівництва нежитлового приміщення з влаштуванням зовнішніх мереж та футбольного і тренажерного майданчиків на водно-спортивній станції по вул.Нижній Береговій, 2/1 в м.Хмельницькому</t>
  </si>
  <si>
    <t>2018 - 2022 роки</t>
  </si>
  <si>
    <t>Внески до статутного капіталу ХКП "Спецкомунтранс" (реконструкція туалету загального користування по вул. Проскурівській, 40-Б в м. Хмельницькому)</t>
  </si>
  <si>
    <t xml:space="preserve">Субвенція з місцевого бюджету на забезпечення якісної, сучасної та доступної загальної середньої освіти "Нова українська школа" </t>
  </si>
  <si>
    <t>Внески до статутного капіталу Міського комунального підприємства по утриманню нежитлових приміщень (капітальний ремонт приміщень першого поверху по вул. Кам'янецькій, 47 в м. Хмельницькому)</t>
  </si>
  <si>
    <t>Проведення проектно-вишукувальних робіт для "Реконструкції  спортивного майданчика біля житлового будинку по вул. Прибузькій, 36 в м.Хмельницькому"</t>
  </si>
  <si>
    <t>0813049</t>
  </si>
  <si>
    <t>Відшкодування послуги з догляду за дитиною до трьох років "муніципальна няня"</t>
  </si>
  <si>
    <t>3049</t>
  </si>
  <si>
    <t>2719770</t>
  </si>
  <si>
    <t>Реконструкція приміщень відділення хірургії та неврології КП "Хмельницька міська дитяча лікарня Хмельницької міської ради" за адресою: м.Хмельницький, вул.С.Разіна,1 (в тому числі виготовлення проектно-кошторисної документації)</t>
  </si>
  <si>
    <t xml:space="preserve">до рішення  №        від         2019 року </t>
  </si>
  <si>
    <t xml:space="preserve">Додаток № 5
до рішення №              від                 2019 року
</t>
  </si>
  <si>
    <t>Робочий проект на реконструкцію приміщень КП "Хмельницька міська дитяча лікарня Хмельницької міської ради" під відділення невідкладної допомоги та реанімації за адресою: м.Хмельницький, вул. С.Разіна,1</t>
  </si>
  <si>
    <t>Внески до статутного капіталу СКП "Хмельницька міська ритуальна служба" (капітальний ремонт приміщення адміністративної будівлі по вул.Львівському шосе №61/2а)</t>
  </si>
  <si>
    <t>Внески до статутного капіталу Міського комунального підприємства по утриманню нежитлових приміщень (капітальний ремонт приміщень міського військового комісаріату по вул. Проскурівській, 35 (штаб в/ч А7179, батальйон ТРО) в м. Хмельницькому)</t>
  </si>
  <si>
    <t>Внески до статутного капіталу МКП "Хмельницьктеплокомуненерго" (реконструкція котельні по вул. Водопровідній, 48, м. Хмельницький)</t>
  </si>
  <si>
    <t>Внески до статутного капіталу МКП "Хмельницьктеплокомуненерго" (реконструкція котельні з прибудовою приміщень по вул. Кам`янецькій, 46/1, 48/1, м. Хмельницький)</t>
  </si>
  <si>
    <t>Внески до статутного капіталу МКП "Хмельницькводоканал" (реконструкція ділянки водопроводу діам. 400 мм по вул. С.Бандери від вул. Верхня Берегова до вул.Нижня Берегова в м. Хмельницький)</t>
  </si>
  <si>
    <t>Додаток № 4
до рішення  №          від                     2019 року</t>
  </si>
  <si>
    <t xml:space="preserve">до рішення   №        від               2019 року   </t>
  </si>
  <si>
    <t>Будівництво - технічне переоснащення мережі зовнішнього електропостачання 107 садових будинків ОК "Садівниче товариство "Левада-Гречани" проїзд 1-й Трояндовий - 8-й Трояндовий в межах м. Хмельницького</t>
  </si>
  <si>
    <t>Внески до статутного капіталу МКП "Хмельницькводоканал" (реконструкція ділянки водопроводу діаметром  400 мм на перехресті вул. C.Бандери- вул.М. Мазура в м. Хмельницький)</t>
  </si>
  <si>
    <t>Внески до статутного капіталу МКП "Хмельницькводоканал" (на реконструкцію системи знезараження питної води ВНС-9 по проспекту Миру,36/2А у м Хмельницький)</t>
  </si>
  <si>
    <t>Внески до статутного капіталу Міського комунального підприємства по утриманню нежитлових приміщень (реконструкція нежитлового приміщення за адресою вул.Героїв Майдану, 12 у м.Хмельницький)</t>
  </si>
  <si>
    <t>Внески до статутного капіталу КП по зеленому будівництву та благоустрою міста (придбання травокосарок)</t>
  </si>
  <si>
    <t>Програма співфінансування робіт з ремонту багатоквартирних житлових будинків м. Хмельницького на 2019-2023 роки</t>
  </si>
  <si>
    <t>Програма популяризації та ефективного впрвадження програм у сфері житлово-комунального господарства на 2019-2023 роки</t>
  </si>
  <si>
    <t>Рішення виконавчого комітету від 28.03.2019 року № 291</t>
  </si>
  <si>
    <t>1517370</t>
  </si>
  <si>
    <t>0813087</t>
  </si>
  <si>
    <t>3087</t>
  </si>
  <si>
    <t>Надання допомоги на дітей, які виховуються у багатодітних сім'ях</t>
  </si>
  <si>
    <t>Внески до статутного капіталу МКП "Хмельницькводоканал" (будівництво мереж водопроводу та напірної каналізації по вул. Геологів м.Хмельницький)</t>
  </si>
  <si>
    <t>Внески до статутного капіталу МКП "Хмельницькводоканал" (будівництво мереж водопроводу по вул. Гунашевського, вул. Дубівська, вул. Білгородська, вул. Авіаційна, пров. Білгородський, пров. Авіаційний, пров. Дубівський, пров. Затишний, пров. Дачний та вул. О. Вишні в м.Хмельницький)</t>
  </si>
  <si>
    <t>Внески до статутного капіталу МКП "Хмельницькводоканал" (будівництво вуличного водопроводу по вул.Достоєвського від вул. Київська до прв. Достоєвського)</t>
  </si>
  <si>
    <t>Відшкодування витрат, понесених комунальним підприємством «Чайка», на надання лазневих послуг на пільгових умовах учасникам бойових дій,  особам з інвалідністю внаслідок війни, особам з інвалідністю внаслідок військової служби, які  зареєстровані у м. Хмельницькому</t>
  </si>
  <si>
    <t>Програма соціальної підтримки учасників АТО, учасників Революції Гідності, бійців-добровольців АТО у м. Хмельницькому та членів їх сімей на 2018 - 2020 рр. (із змінами і доповненнями)</t>
  </si>
  <si>
    <t>Програма соціальної підтримки учасників АТО, учасників Революції Гідності, бійців-добровольців АТО у м. Хмельницькому та членів їх сімей на 2018 - 2020 рр.  (із змінами і доповненнями)</t>
  </si>
  <si>
    <t>Реконструкція мереж водопроводу та каналізації в мікрорайоні "Лезнево" м.Хмельницький</t>
  </si>
  <si>
    <t>Внески до статутного капіталу МКП "Хмельницькводоканал" (реконструкція самопливного каналізаційного колектора по вул.Старокостянтинівське шосе в м.Хмельницький)</t>
  </si>
  <si>
    <t>Комплексна Програма реалізації молодіжної політики та розвитку фізичної культури і спорту у м.Хмельницькому на 2017 - 2021 роки (із змінами і доповненнями)</t>
  </si>
  <si>
    <t>ВНЕСЕНО ЗМІНИ ПО ПРОТОКОЛУ БК</t>
  </si>
  <si>
    <t>Рішення шістнадцятої сесії Хмельницької міської ради від 12.07.2017 року № 28</t>
  </si>
  <si>
    <t>Рішення 13-ї сесії міської ради від 17.04.2019 року № 49</t>
  </si>
  <si>
    <t>Рішення 13-ї сесії міської ради від 17.04.2019 року № 48</t>
  </si>
  <si>
    <t>Програма часткового відшкодування відсоткових ставок за залученими кредитами, що надаються фізичним особам, об’єднанням співвласників багатоквартирних будинків та житлово-будівельним кооперативам на заходи з підвищення енергоефективності на 2018-2021 роки</t>
  </si>
  <si>
    <t>Рішення 19-ї сесії  міської ради від 27.12.2017 р. № 40</t>
  </si>
  <si>
    <t>Рішення 29-ї сесії міської ради від13.02.2019 р. № 31</t>
  </si>
  <si>
    <t>Програма відшкодування частини відсоткових ставок та кредитів, отриманних ОСББ, ЖБК на впровадження відновлювальних джерел енергії та заходів з енергозбереження, термомодернізації багатоквартирних житлових будинків у м.Хмельницькому на 2019-2022 роки</t>
  </si>
  <si>
    <t>Програма відшкодування частини кредитів, отриманих ОСББ, ЖБК на впровадження відновлювальних джерел енергії та заходів з енергозбереження, термомодернізації багатоквартирних житлових будинків у м. Хмельницькому на 2018-2022 роки</t>
  </si>
  <si>
    <t xml:space="preserve">Рішення позачергової 10-ї сесії Хмельницької міської ради від 29.12.2016 року № 6                    Рішення 20-ї сесії міської ради від 31.01.2018 р. № 19
</t>
  </si>
  <si>
    <t>0813221</t>
  </si>
  <si>
    <t>3221</t>
  </si>
  <si>
    <t>Грошова компенсація за належні для отримання жилі приміщення для сімей осіб, визначених абзацами 5 - 8 пункту 1 статті 10 Закону України "Про статус ветеранів війни, гарантії їх соціального захисту", для осіб з інвалідністю I - II групи, яка настала внаслідок поранення,</t>
  </si>
  <si>
    <t>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t>
  </si>
  <si>
    <t>Донецькій та Луганській областях, забезпеченні їх здійснення,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t>
  </si>
  <si>
    <t>0813223</t>
  </si>
  <si>
    <t>3223</t>
  </si>
  <si>
    <t>Грошова компенсація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 - II групи</t>
  </si>
  <si>
    <t xml:space="preserve">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t>
  </si>
  <si>
    <t>гарантії їх соціального захисту", та які потребують поліпшення житлових умов</t>
  </si>
  <si>
    <t>1217462</t>
  </si>
  <si>
    <t>7462</t>
  </si>
  <si>
    <t>Утримання та розвиток автомобільних доріг та дорожньої інфраструктури за рахунок субвенції з державного бюджету</t>
  </si>
  <si>
    <t xml:space="preserve">Субвенція з державного бюджету місцевим бюджетам на створення нових, будівельно-ремонтні роботи існуючих палаців спорту та завершення розпочатих у попередньому періоді робіт з будівництва/реконструкції палаців спорту </t>
  </si>
  <si>
    <t xml:space="preserve">Субвенція з місцевого бюджету  на виплату грошової компенсації за належні для отримання жилі приміщення для сімей осіб, визначених абзацами 5-8 пункту статті 10 Закону України  «Про статус ветеранів війни, гарантії їх соціального захисту» , для осіб з інвалідністю І – 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забезпечення її проведення, здійсненні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забезпечення їх здійснення,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t>
  </si>
  <si>
    <t>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І – ІІ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</si>
  <si>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 xml:space="preserve">Субвенція з місцевого бюджету на реалізацію заходів, спрямованих на підвищення якості освіти за рахунок відповідної субвенції з державного бюджету </t>
  </si>
  <si>
    <t xml:space="preserve">Субвенції з державного бюджету місцевим бюджетам </t>
  </si>
  <si>
    <t xml:space="preserve">Субвенції з місцевих бюджетів іншим місцевим бюджетам </t>
  </si>
  <si>
    <t xml:space="preserve">  -  на фінансування мікропоектів</t>
  </si>
  <si>
    <t>Нове будівництво огорожі та освітлення території в/м №45, м. Хмельницький</t>
  </si>
  <si>
    <t>1610180</t>
  </si>
  <si>
    <t>Розроблення розділу "Охорона навколишнього природного середовища" проекту містобудівної документації "Детальний план території  центральної частини міста" - звіту про стратегічну екологічну оцінку.</t>
  </si>
  <si>
    <t>Внески до статутного капіталу ХКП  "Міськсвітло" (придбання ілюмінації для святкового оформлення новорічного ярмарку)</t>
  </si>
  <si>
    <t>Внески до статутного капіталу МКП "Хмельницькводоканал" (будівництво вуличних мереж водовідведення по вул.Черняховського у м.Хмельницький)</t>
  </si>
  <si>
    <t>Внески до статутного капіталу МКП "Хмельницькводоканал" (будівництво водопроводу по вул. Митрополита Шептицького (мкр-н "Дубове 1") в м.Хмельницький)</t>
  </si>
  <si>
    <t xml:space="preserve"> Реконструкція вводу теплової мережі з заміною вузла обліку теплової енергії в приміщенні ДНЗ "ВПУ №11 м. Хмельницького" по вул. Тернопільська 15/2</t>
  </si>
  <si>
    <t>Проведення експертизи проектної документації "Реконструкція  спортивного майданчика біля житлового будинку по вул.Прибузькій, 36 в м.Хмельницькому"</t>
  </si>
  <si>
    <t>1115062</t>
  </si>
  <si>
    <t>5062</t>
  </si>
  <si>
    <t>Підтримка спорту вищих досягнень та організацій, які здійснюють фізкультурно-спортивну діяльність в регіоні</t>
  </si>
  <si>
    <t>Внески до статутного капіталу МКП "Хмельницькводоканал"(на будівництво вуличних мереж водопостачання житлових будинків по вул. Криничній в м.Хмельницький)</t>
  </si>
  <si>
    <t>Розроблення розділу "Охорона навколишнього природного середовища" проекту містобудівної документації "Детальний план території  "Заріччя" - звіту про стратегічну екологічну оцінку.</t>
  </si>
  <si>
    <t>Внески до статутного капіталу МКП "Хмельницькводоканал" (будівництво вуличної мережі водопроводу від житлового будинку №20/1Д до житлового будинку №82/1Б по вул.Нагірній в м. Хмельницький)</t>
  </si>
  <si>
    <t>Розробка проектно-кошторисної документації на "Реконструкцію аеродромного комплексу КП «Аеропорт Хмельницький» з подовженням штучної злітно-посадкової смуги на 500 метрів"</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</si>
  <si>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</si>
  <si>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0816083</t>
  </si>
  <si>
    <t>6083</t>
  </si>
  <si>
    <t xml:space="preserve">Субвенція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 за рахунок відповідної субвенції з державного бюджету </t>
  </si>
  <si>
    <t xml:space="preserve">Субвенція з місцевого бюджету на здійснення переданих видатків у сфері освіти за рахунок коштів  освітньої субвенції </t>
  </si>
  <si>
    <t xml:space="preserve">Керуючий справами виконавчого комітету </t>
  </si>
  <si>
    <t>Ю. Сабій</t>
  </si>
  <si>
    <t xml:space="preserve">Ю. Сабій </t>
  </si>
  <si>
    <t>Керуючий справами виконавчого комітету                                                                                                                                                                                 Ю. Сабій</t>
  </si>
  <si>
    <t xml:space="preserve">Керуючий справами виконавчого комітету                                                                                                                                                                                Ю.Сабій </t>
  </si>
  <si>
    <t>Керуючий справами виконавчого комітету                                                                                                                                                                            Ю. Сабій</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</si>
</sst>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0"/>
    <numFmt numFmtId="166" formatCode="#,##0.000"/>
    <numFmt numFmtId="167" formatCode="#,##0.00000"/>
    <numFmt numFmtId="168" formatCode="#,##0.0000"/>
  </numFmts>
  <fonts count="128" x14ac:knownFonts="1">
    <font>
      <sz val="10"/>
      <name val="Arial Cyr"/>
      <charset val="204"/>
    </font>
    <font>
      <sz val="10"/>
      <color theme="1"/>
      <name val="Calibri"/>
      <family val="2"/>
      <charset val="204"/>
      <scheme val="minor"/>
    </font>
    <font>
      <sz val="10"/>
      <color theme="1"/>
      <name val="Calibri"/>
      <family val="2"/>
      <charset val="204"/>
      <scheme val="minor"/>
    </font>
    <font>
      <sz val="10"/>
      <name val="Arial Cyr"/>
      <charset val="204"/>
    </font>
    <font>
      <sz val="10"/>
      <name val="MS Sans Serif"/>
      <family val="2"/>
      <charset val="204"/>
    </font>
    <font>
      <sz val="10"/>
      <name val="Times New Roman"/>
      <family val="1"/>
      <charset val="204"/>
    </font>
    <font>
      <sz val="10"/>
      <name val="Times New Roman Cyr"/>
      <family val="1"/>
      <charset val="204"/>
    </font>
    <font>
      <b/>
      <sz val="10"/>
      <name val="Times New Roman Cyr"/>
      <family val="1"/>
      <charset val="204"/>
    </font>
    <font>
      <b/>
      <sz val="10"/>
      <name val="Arial Cyr"/>
      <charset val="204"/>
    </font>
    <font>
      <sz val="12"/>
      <name val="Times New Roman"/>
      <family val="1"/>
      <charset val="204"/>
    </font>
    <font>
      <b/>
      <sz val="12"/>
      <name val="Times New Roman"/>
      <family val="1"/>
      <charset val="204"/>
    </font>
    <font>
      <b/>
      <sz val="14"/>
      <name val="Times New Roman"/>
      <family val="1"/>
      <charset val="204"/>
    </font>
    <font>
      <sz val="14"/>
      <name val="Times New Roman"/>
      <family val="1"/>
      <charset val="204"/>
    </font>
    <font>
      <b/>
      <sz val="10"/>
      <name val="Times New Roman"/>
      <family val="1"/>
      <charset val="204"/>
    </font>
    <font>
      <sz val="8"/>
      <name val="Times New Roman"/>
      <family val="1"/>
      <charset val="204"/>
    </font>
    <font>
      <b/>
      <sz val="10"/>
      <color indexed="8"/>
      <name val="Times New Roman"/>
      <family val="1"/>
      <charset val="204"/>
    </font>
    <font>
      <sz val="8"/>
      <name val="Arial Cyr"/>
      <charset val="204"/>
    </font>
    <font>
      <sz val="11"/>
      <color indexed="6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9"/>
      <name val="Calibri"/>
      <family val="2"/>
      <charset val="204"/>
    </font>
    <font>
      <b/>
      <sz val="18"/>
      <color indexed="56"/>
      <name val="Cambria"/>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Helv"/>
      <charset val="204"/>
    </font>
    <font>
      <sz val="10"/>
      <name val="Courier New"/>
      <family val="3"/>
      <charset val="204"/>
    </font>
    <font>
      <sz val="11"/>
      <color indexed="19"/>
      <name val="Calibri"/>
      <family val="2"/>
      <charset val="204"/>
    </font>
    <font>
      <sz val="11"/>
      <name val="Times New Roman"/>
      <family val="1"/>
      <charset val="204"/>
    </font>
    <font>
      <b/>
      <sz val="11"/>
      <name val="Times New Roman"/>
      <family val="1"/>
      <charset val="204"/>
    </font>
    <font>
      <b/>
      <sz val="11"/>
      <color indexed="8"/>
      <name val="Times New Roman"/>
      <family val="1"/>
      <charset val="204"/>
    </font>
    <font>
      <sz val="11"/>
      <color indexed="8"/>
      <name val="Times New Roman"/>
      <family val="1"/>
      <charset val="204"/>
    </font>
    <font>
      <b/>
      <i/>
      <sz val="11"/>
      <color indexed="8"/>
      <name val="Times New Roman"/>
      <family val="1"/>
      <charset val="204"/>
    </font>
    <font>
      <sz val="9"/>
      <color indexed="8"/>
      <name val="Times New Roman"/>
      <family val="1"/>
      <charset val="204"/>
    </font>
    <font>
      <b/>
      <i/>
      <sz val="10"/>
      <name val="Times New Roman"/>
      <family val="1"/>
      <charset val="204"/>
    </font>
    <font>
      <b/>
      <i/>
      <sz val="10"/>
      <color indexed="8"/>
      <name val="Times New Roman"/>
      <family val="1"/>
      <charset val="204"/>
    </font>
    <font>
      <sz val="10"/>
      <color indexed="8"/>
      <name val="Times New Roman"/>
      <family val="1"/>
      <charset val="204"/>
    </font>
    <font>
      <b/>
      <sz val="36"/>
      <name val="Times New Roman"/>
      <family val="1"/>
      <charset val="204"/>
    </font>
    <font>
      <sz val="36"/>
      <name val="Times New Roman"/>
      <family val="1"/>
      <charset val="204"/>
    </font>
    <font>
      <b/>
      <i/>
      <sz val="36"/>
      <name val="Times New Roman"/>
      <family val="1"/>
      <charset val="204"/>
    </font>
    <font>
      <b/>
      <sz val="37"/>
      <name val="Times New Roman"/>
      <family val="1"/>
      <charset val="204"/>
    </font>
    <font>
      <i/>
      <sz val="37"/>
      <name val="Times New Roman"/>
      <family val="1"/>
      <charset val="204"/>
    </font>
    <font>
      <sz val="37"/>
      <name val="Times New Roman"/>
      <family val="1"/>
      <charset val="204"/>
    </font>
    <font>
      <b/>
      <i/>
      <sz val="37"/>
      <name val="Times New Roman"/>
      <family val="1"/>
      <charset val="204"/>
    </font>
    <font>
      <sz val="36"/>
      <name val="Arial Cyr"/>
      <charset val="204"/>
    </font>
    <font>
      <b/>
      <sz val="18"/>
      <name val="Times New Roman"/>
      <family val="1"/>
      <charset val="204"/>
    </font>
    <font>
      <sz val="10"/>
      <color indexed="8"/>
      <name val="Arial"/>
      <family val="2"/>
      <charset val="204"/>
    </font>
    <font>
      <b/>
      <i/>
      <sz val="11"/>
      <name val="Times New Roman"/>
      <family val="1"/>
      <charset val="204"/>
    </font>
    <font>
      <i/>
      <sz val="11"/>
      <name val="Times New Roman"/>
      <family val="1"/>
      <charset val="204"/>
    </font>
    <font>
      <sz val="10"/>
      <name val="Arial Cyr"/>
      <charset val="204"/>
    </font>
    <font>
      <sz val="11"/>
      <name val="Times New Roman Cyr"/>
      <charset val="204"/>
    </font>
    <font>
      <i/>
      <sz val="11"/>
      <color indexed="8"/>
      <name val="Times New Roman"/>
      <family val="1"/>
      <charset val="204"/>
    </font>
    <font>
      <i/>
      <sz val="10"/>
      <name val="Arial Cyr"/>
      <charset val="204"/>
    </font>
    <font>
      <sz val="11"/>
      <name val="Arial Cyr"/>
      <charset val="204"/>
    </font>
    <font>
      <b/>
      <sz val="28"/>
      <name val="Times New Roman Cyr"/>
      <family val="1"/>
      <charset val="204"/>
    </font>
    <font>
      <b/>
      <sz val="36"/>
      <name val="Times New Roman Cyr"/>
      <family val="1"/>
      <charset val="204"/>
    </font>
    <font>
      <sz val="20"/>
      <name val="Times New Roman Cyr"/>
      <family val="1"/>
      <charset val="204"/>
    </font>
    <font>
      <b/>
      <sz val="26"/>
      <name val="Times New Roman Cyr"/>
      <family val="1"/>
      <charset val="204"/>
    </font>
    <font>
      <b/>
      <sz val="16"/>
      <name val="Times New Roman"/>
      <family val="1"/>
      <charset val="204"/>
    </font>
    <font>
      <sz val="9"/>
      <name val="Times New Roman"/>
      <family val="1"/>
      <charset val="204"/>
    </font>
    <font>
      <b/>
      <sz val="9"/>
      <color indexed="8"/>
      <name val="Times New Roman"/>
      <family val="1"/>
      <charset val="204"/>
    </font>
    <font>
      <b/>
      <sz val="9"/>
      <name val="Times New Roman"/>
      <family val="1"/>
      <charset val="204"/>
    </font>
    <font>
      <b/>
      <i/>
      <sz val="9"/>
      <name val="Times New Roman"/>
      <family val="1"/>
      <charset val="204"/>
    </font>
    <font>
      <b/>
      <i/>
      <sz val="9"/>
      <color indexed="8"/>
      <name val="Times New Roman"/>
      <family val="1"/>
      <charset val="204"/>
    </font>
    <font>
      <b/>
      <i/>
      <sz val="8"/>
      <name val="Bookman Old Style"/>
      <family val="1"/>
      <charset val="204"/>
    </font>
    <font>
      <sz val="8"/>
      <name val="Bookman Old Style"/>
      <family val="1"/>
      <charset val="204"/>
    </font>
    <font>
      <b/>
      <i/>
      <sz val="9"/>
      <color indexed="62"/>
      <name val="Times New Roman"/>
      <family val="1"/>
      <charset val="204"/>
    </font>
    <font>
      <sz val="10"/>
      <name val="Arial"/>
      <family val="2"/>
      <charset val="204"/>
    </font>
    <font>
      <b/>
      <sz val="14"/>
      <color indexed="8"/>
      <name val="Times New Roman"/>
      <family val="1"/>
      <charset val="204"/>
    </font>
    <font>
      <sz val="8"/>
      <color indexed="8"/>
      <name val="Times New Roman"/>
      <family val="1"/>
      <charset val="204"/>
    </font>
    <font>
      <sz val="10"/>
      <name val="Times New Roman CYR"/>
      <charset val="204"/>
    </font>
    <font>
      <sz val="9"/>
      <name val="Times New Roman CYR"/>
      <charset val="204"/>
    </font>
    <font>
      <b/>
      <sz val="12.5"/>
      <name val="Times New Roman"/>
      <family val="1"/>
      <charset val="204"/>
    </font>
    <font>
      <sz val="12"/>
      <name val="Arial Cyr"/>
      <charset val="204"/>
    </font>
    <font>
      <sz val="12.5"/>
      <name val="Times New Roman"/>
      <family val="1"/>
      <charset val="204"/>
    </font>
    <font>
      <b/>
      <i/>
      <sz val="12.5"/>
      <name val="Times New Roman"/>
      <family val="1"/>
      <charset val="204"/>
    </font>
    <font>
      <b/>
      <i/>
      <sz val="10"/>
      <name val="Arial"/>
      <family val="2"/>
      <charset val="204"/>
    </font>
    <font>
      <b/>
      <sz val="36"/>
      <name val="Arial Cyr"/>
      <charset val="204"/>
    </font>
    <font>
      <sz val="28"/>
      <name val="Arial Cyr"/>
      <charset val="204"/>
    </font>
    <font>
      <u/>
      <sz val="10"/>
      <color indexed="12"/>
      <name val="Arial Cyr"/>
      <charset val="204"/>
    </font>
    <font>
      <sz val="11"/>
      <color indexed="8"/>
      <name val="Calibri"/>
      <family val="2"/>
      <charset val="204"/>
    </font>
    <font>
      <sz val="11"/>
      <color indexed="9"/>
      <name val="Calibri"/>
      <family val="2"/>
      <charset val="204"/>
    </font>
    <font>
      <b/>
      <sz val="11"/>
      <color indexed="63"/>
      <name val="Calibri"/>
      <family val="2"/>
      <charset val="204"/>
    </font>
    <font>
      <b/>
      <sz val="11"/>
      <color indexed="52"/>
      <name val="Calibri"/>
      <family val="2"/>
      <charset val="204"/>
    </font>
    <font>
      <b/>
      <sz val="11"/>
      <color indexed="8"/>
      <name val="Calibri"/>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22"/>
      <name val="Times New Roman Cyr"/>
      <family val="1"/>
      <charset val="204"/>
    </font>
    <font>
      <sz val="10"/>
      <color theme="9"/>
      <name val="Arial"/>
      <family val="2"/>
      <charset val="204"/>
    </font>
    <font>
      <b/>
      <sz val="48"/>
      <name val="Times New Roman Cyr"/>
      <family val="1"/>
      <charset val="204"/>
    </font>
    <font>
      <sz val="48"/>
      <name val="Arial Cyr"/>
      <charset val="204"/>
    </font>
    <font>
      <sz val="36"/>
      <name val="Calibri"/>
      <family val="2"/>
      <charset val="204"/>
    </font>
    <font>
      <vertAlign val="superscript"/>
      <sz val="20"/>
      <name val="Times New Roman"/>
      <family val="1"/>
      <charset val="204"/>
    </font>
    <font>
      <sz val="20"/>
      <name val="Times New Roman"/>
      <family val="1"/>
      <charset val="204"/>
    </font>
    <font>
      <sz val="20"/>
      <name val="Arial Cyr"/>
      <charset val="204"/>
    </font>
    <font>
      <b/>
      <sz val="12"/>
      <color indexed="8"/>
      <name val="Times New Roman"/>
      <family val="1"/>
      <charset val="204"/>
    </font>
    <font>
      <sz val="12"/>
      <color indexed="8"/>
      <name val="Times New Roman"/>
      <family val="1"/>
      <charset val="204"/>
    </font>
    <font>
      <vertAlign val="superscript"/>
      <sz val="10"/>
      <name val="Times New Roman"/>
      <family val="1"/>
      <charset val="204"/>
    </font>
    <font>
      <sz val="10"/>
      <name val="Arial Cyr"/>
      <family val="2"/>
      <charset val="204"/>
    </font>
    <font>
      <sz val="36"/>
      <name val="Times New Roman Cyr"/>
      <family val="1"/>
      <charset val="204"/>
    </font>
    <font>
      <i/>
      <sz val="10"/>
      <name val="Times New Roman"/>
      <family val="1"/>
      <charset val="204"/>
    </font>
    <font>
      <sz val="50"/>
      <name val="Arial Cyr"/>
      <charset val="204"/>
    </font>
    <font>
      <sz val="11"/>
      <name val="Times New Roman Cyr"/>
      <family val="1"/>
      <charset val="204"/>
    </font>
    <font>
      <b/>
      <sz val="11"/>
      <name val="Times New Roman Cyr"/>
      <family val="1"/>
      <charset val="204"/>
    </font>
    <font>
      <i/>
      <sz val="11"/>
      <name val="Times New Roman Cyr"/>
      <family val="1"/>
      <charset val="204"/>
    </font>
    <font>
      <b/>
      <sz val="10"/>
      <name val="Times New Roman CYR"/>
      <charset val="204"/>
    </font>
    <font>
      <b/>
      <i/>
      <sz val="37"/>
      <name val="Arial Cyr"/>
      <charset val="204"/>
    </font>
    <font>
      <sz val="22"/>
      <name val="Times New Roman"/>
      <family val="1"/>
      <charset val="204"/>
    </font>
    <font>
      <sz val="36"/>
      <color indexed="8"/>
      <name val="Times New Roman"/>
      <family val="1"/>
      <charset val="204"/>
    </font>
    <font>
      <sz val="34"/>
      <name val="Times New Roman"/>
      <family val="1"/>
      <charset val="204"/>
    </font>
    <font>
      <sz val="14"/>
      <name val="Arial"/>
      <family val="2"/>
      <charset val="204"/>
    </font>
    <font>
      <sz val="32"/>
      <color indexed="8"/>
      <name val="Times New Roman"/>
      <family val="1"/>
      <charset val="204"/>
    </font>
    <font>
      <sz val="72"/>
      <name val="Arial Cyr"/>
      <charset val="204"/>
    </font>
    <font>
      <i/>
      <sz val="36"/>
      <name val="Arial Cyr"/>
      <charset val="204"/>
    </font>
    <font>
      <sz val="48"/>
      <name val="Times New Roman"/>
      <family val="1"/>
      <charset val="204"/>
    </font>
    <font>
      <sz val="12"/>
      <color theme="1"/>
      <name val="Times New Roman"/>
      <family val="1"/>
      <charset val="204"/>
    </font>
    <font>
      <b/>
      <sz val="14"/>
      <color rgb="FF000000"/>
      <name val="Times New Roman"/>
      <family val="1"/>
      <charset val="204"/>
    </font>
    <font>
      <sz val="11"/>
      <color rgb="FF000000"/>
      <name val="Times New Roman"/>
      <family val="1"/>
      <charset val="204"/>
    </font>
    <font>
      <sz val="10"/>
      <color rgb="FF000000"/>
      <name val="Times New Roman"/>
      <family val="1"/>
      <charset val="204"/>
    </font>
    <font>
      <b/>
      <sz val="12"/>
      <color rgb="FF000000"/>
      <name val="Arial Unicode MS"/>
      <family val="2"/>
      <charset val="204"/>
    </font>
    <font>
      <sz val="12"/>
      <color rgb="FF000000"/>
      <name val="Times New Roman"/>
      <family val="1"/>
      <charset val="204"/>
    </font>
    <font>
      <sz val="11"/>
      <color theme="1"/>
      <name val="Calibri"/>
      <family val="2"/>
      <charset val="204"/>
      <scheme val="minor"/>
    </font>
    <font>
      <i/>
      <sz val="11"/>
      <color theme="1"/>
      <name val="Times New Roman"/>
      <family val="1"/>
      <charset val="204"/>
    </font>
    <font>
      <i/>
      <sz val="37"/>
      <name val="Arial Cyr"/>
      <charset val="204"/>
    </font>
    <font>
      <i/>
      <sz val="48"/>
      <name val="Times New Roman"/>
      <family val="1"/>
      <charset val="204"/>
    </font>
    <font>
      <sz val="16"/>
      <name val="Times New Roman"/>
      <family val="1"/>
      <charset val="204"/>
    </font>
  </fonts>
  <fills count="37">
    <fill>
      <patternFill patternType="none"/>
    </fill>
    <fill>
      <patternFill patternType="gray125"/>
    </fill>
    <fill>
      <patternFill patternType="solid">
        <fgColor indexed="47"/>
      </patternFill>
    </fill>
    <fill>
      <patternFill patternType="solid">
        <fgColor indexed="27"/>
      </patternFill>
    </fill>
    <fill>
      <patternFill patternType="solid">
        <fgColor indexed="43"/>
      </patternFill>
    </fill>
    <fill>
      <patternFill patternType="solid">
        <fgColor indexed="5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rgb="FFFFFF00"/>
        <bgColor indexed="64"/>
      </patternFill>
    </fill>
    <fill>
      <patternFill patternType="solid">
        <fgColor rgb="FFFF0000"/>
        <bgColor indexed="64"/>
      </patternFill>
    </fill>
    <fill>
      <patternFill patternType="solid">
        <fgColor rgb="FFFF9900"/>
        <bgColor indexed="64"/>
      </patternFill>
    </fill>
    <fill>
      <gradientFill type="path" left="0.5" right="0.5" top="0.5" bottom="0.5">
        <stop position="0">
          <color theme="0"/>
        </stop>
        <stop position="1">
          <color theme="9" tint="0.80001220740379042"/>
        </stop>
      </gradientFill>
    </fill>
    <fill>
      <gradientFill type="path" left="0.5" right="0.5" top="0.5" bottom="0.5">
        <stop position="0">
          <color theme="0"/>
        </stop>
        <stop position="1">
          <color rgb="FFFFFFCC"/>
        </stop>
      </gradientFill>
    </fill>
    <fill>
      <patternFill patternType="solid">
        <fgColor rgb="FF66FFFF"/>
        <bgColor auto="1"/>
      </patternFill>
    </fill>
    <fill>
      <patternFill patternType="solid">
        <fgColor rgb="FFFFFFFF"/>
        <bgColor indexed="64"/>
      </patternFill>
    </fill>
    <fill>
      <gradientFill type="path" left="0.5" right="0.5" top="0.5" bottom="0.5">
        <stop position="0">
          <color theme="0"/>
        </stop>
        <stop position="1">
          <color rgb="FFCCFFCC"/>
        </stop>
      </gradientFill>
    </fill>
    <fill>
      <patternFill patternType="solid">
        <fgColor theme="0"/>
        <bgColor indexed="64"/>
      </patternFill>
    </fill>
    <fill>
      <patternFill patternType="solid">
        <fgColor rgb="FFCCFFFF"/>
        <bgColor indexed="64"/>
      </patternFill>
    </fill>
    <fill>
      <gradientFill degree="270">
        <stop position="0">
          <color theme="0"/>
        </stop>
        <stop position="1">
          <color theme="9" tint="0.59999389629810485"/>
        </stop>
      </gradientFill>
    </fill>
    <fill>
      <patternFill patternType="solid">
        <fgColor rgb="FF66FFFF"/>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style="thin">
        <color indexed="64"/>
      </right>
      <top/>
      <bottom/>
      <diagonal/>
    </border>
  </borders>
  <cellStyleXfs count="94">
    <xf numFmtId="0" fontId="0" fillId="0" borderId="0"/>
    <xf numFmtId="0" fontId="3" fillId="0" borderId="0"/>
    <xf numFmtId="0" fontId="17" fillId="2" borderId="1" applyNumberFormat="0" applyAlignment="0" applyProtection="0"/>
    <xf numFmtId="0" fontId="25" fillId="3" borderId="0" applyNumberFormat="0" applyBorder="0" applyAlignment="0" applyProtection="0"/>
    <xf numFmtId="0" fontId="18" fillId="0" borderId="2"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0" applyNumberForma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 fillId="0" borderId="0"/>
    <xf numFmtId="0" fontId="50" fillId="0" borderId="0"/>
    <xf numFmtId="0" fontId="27" fillId="0" borderId="0"/>
    <xf numFmtId="0" fontId="3" fillId="0" borderId="0"/>
    <xf numFmtId="0" fontId="50" fillId="0" borderId="0"/>
    <xf numFmtId="0" fontId="3" fillId="0" borderId="0"/>
    <xf numFmtId="0" fontId="50" fillId="0" borderId="0"/>
    <xf numFmtId="0" fontId="27" fillId="0" borderId="0"/>
    <xf numFmtId="0" fontId="27" fillId="0" borderId="0"/>
    <xf numFmtId="0" fontId="27" fillId="0" borderId="0"/>
    <xf numFmtId="0" fontId="27" fillId="0" borderId="0"/>
    <xf numFmtId="0" fontId="27" fillId="0" borderId="0"/>
    <xf numFmtId="0" fontId="47" fillId="0" borderId="0">
      <alignment vertical="top"/>
    </xf>
    <xf numFmtId="0" fontId="21" fillId="5" borderId="5" applyNumberFormat="0" applyAlignment="0" applyProtection="0"/>
    <xf numFmtId="0" fontId="22" fillId="0" borderId="0" applyNumberFormat="0" applyFill="0" applyBorder="0" applyAlignment="0" applyProtection="0"/>
    <xf numFmtId="0" fontId="3" fillId="0" borderId="0"/>
    <xf numFmtId="0" fontId="50" fillId="0" borderId="0"/>
    <xf numFmtId="0" fontId="5" fillId="0" borderId="0"/>
    <xf numFmtId="0" fontId="68" fillId="0" borderId="0" applyNumberFormat="0" applyFont="0" applyFill="0" applyBorder="0" applyAlignment="0" applyProtection="0">
      <alignment vertical="top"/>
    </xf>
    <xf numFmtId="0" fontId="26" fillId="0" borderId="0"/>
    <xf numFmtId="0" fontId="4" fillId="0" borderId="0" applyNumberFormat="0" applyFont="0" applyFill="0" applyBorder="0" applyAlignment="0" applyProtection="0">
      <alignment vertical="top"/>
    </xf>
    <xf numFmtId="0" fontId="5" fillId="0" borderId="0"/>
    <xf numFmtId="0" fontId="26" fillId="0" borderId="0"/>
    <xf numFmtId="0" fontId="23" fillId="0" borderId="6" applyNumberFormat="0" applyFill="0" applyAlignment="0" applyProtection="0"/>
    <xf numFmtId="0" fontId="28" fillId="4" borderId="0" applyNumberFormat="0" applyBorder="0" applyAlignment="0" applyProtection="0"/>
    <xf numFmtId="0" fontId="26" fillId="0" borderId="0"/>
    <xf numFmtId="0" fontId="24" fillId="0" borderId="0" applyNumberFormat="0" applyFill="0" applyBorder="0" applyAlignment="0" applyProtection="0"/>
    <xf numFmtId="0" fontId="3" fillId="0" borderId="0"/>
    <xf numFmtId="0" fontId="81" fillId="7" borderId="0" applyNumberFormat="0" applyBorder="0" applyAlignment="0" applyProtection="0"/>
    <xf numFmtId="0" fontId="81" fillId="8" borderId="0" applyNumberFormat="0" applyBorder="0" applyAlignment="0" applyProtection="0"/>
    <xf numFmtId="0" fontId="81" fillId="9" borderId="0" applyNumberFormat="0" applyBorder="0" applyAlignment="0" applyProtection="0"/>
    <xf numFmtId="0" fontId="81" fillId="10" borderId="0" applyNumberFormat="0" applyBorder="0" applyAlignment="0" applyProtection="0"/>
    <xf numFmtId="0" fontId="81" fillId="3" borderId="0" applyNumberFormat="0" applyBorder="0" applyAlignment="0" applyProtection="0"/>
    <xf numFmtId="0" fontId="81" fillId="2" borderId="0" applyNumberFormat="0" applyBorder="0" applyAlignment="0" applyProtection="0"/>
    <xf numFmtId="0" fontId="81" fillId="11" borderId="0" applyNumberFormat="0" applyBorder="0" applyAlignment="0" applyProtection="0"/>
    <xf numFmtId="0" fontId="81" fillId="12" borderId="0" applyNumberFormat="0" applyBorder="0" applyAlignment="0" applyProtection="0"/>
    <xf numFmtId="0" fontId="81" fillId="13" borderId="0" applyNumberFormat="0" applyBorder="0" applyAlignment="0" applyProtection="0"/>
    <xf numFmtId="0" fontId="81" fillId="10" borderId="0" applyNumberFormat="0" applyBorder="0" applyAlignment="0" applyProtection="0"/>
    <xf numFmtId="0" fontId="81" fillId="11" borderId="0" applyNumberFormat="0" applyBorder="0" applyAlignment="0" applyProtection="0"/>
    <xf numFmtId="0" fontId="81" fillId="14" borderId="0" applyNumberFormat="0" applyBorder="0" applyAlignment="0" applyProtection="0"/>
    <xf numFmtId="0" fontId="82" fillId="15" borderId="0" applyNumberFormat="0" applyBorder="0" applyAlignment="0" applyProtection="0"/>
    <xf numFmtId="0" fontId="82" fillId="12" borderId="0" applyNumberFormat="0" applyBorder="0" applyAlignment="0" applyProtection="0"/>
    <xf numFmtId="0" fontId="82" fillId="13" borderId="0" applyNumberFormat="0" applyBorder="0" applyAlignment="0" applyProtection="0"/>
    <xf numFmtId="0" fontId="82" fillId="16" borderId="0" applyNumberFormat="0" applyBorder="0" applyAlignment="0" applyProtection="0"/>
    <xf numFmtId="0" fontId="82" fillId="17" borderId="0" applyNumberFormat="0" applyBorder="0" applyAlignment="0" applyProtection="0"/>
    <xf numFmtId="0" fontId="82" fillId="18" borderId="0" applyNumberFormat="0" applyBorder="0" applyAlignment="0" applyProtection="0"/>
    <xf numFmtId="0" fontId="82" fillId="19" borderId="0" applyNumberFormat="0" applyBorder="0" applyAlignment="0" applyProtection="0"/>
    <xf numFmtId="0" fontId="82" fillId="20" borderId="0" applyNumberFormat="0" applyBorder="0" applyAlignment="0" applyProtection="0"/>
    <xf numFmtId="0" fontId="82" fillId="21" borderId="0" applyNumberFormat="0" applyBorder="0" applyAlignment="0" applyProtection="0"/>
    <xf numFmtId="0" fontId="82" fillId="16" borderId="0" applyNumberFormat="0" applyBorder="0" applyAlignment="0" applyProtection="0"/>
    <xf numFmtId="0" fontId="82" fillId="17" borderId="0" applyNumberFormat="0" applyBorder="0" applyAlignment="0" applyProtection="0"/>
    <xf numFmtId="0" fontId="82" fillId="22" borderId="0" applyNumberFormat="0" applyBorder="0" applyAlignment="0" applyProtection="0"/>
    <xf numFmtId="0" fontId="17" fillId="2" borderId="1" applyNumberFormat="0" applyAlignment="0" applyProtection="0"/>
    <xf numFmtId="0" fontId="83" fillId="23" borderId="19" applyNumberFormat="0" applyAlignment="0" applyProtection="0"/>
    <xf numFmtId="0" fontId="84" fillId="23" borderId="1" applyNumberFormat="0" applyAlignment="0" applyProtection="0"/>
    <xf numFmtId="0" fontId="80" fillId="0" borderId="0" applyNumberFormat="0" applyFill="0" applyBorder="0" applyAlignment="0" applyProtection="0">
      <alignment vertical="top"/>
      <protection locked="0"/>
    </xf>
    <xf numFmtId="0" fontId="85" fillId="0" borderId="20" applyNumberFormat="0" applyFill="0" applyAlignment="0" applyProtection="0"/>
    <xf numFmtId="0" fontId="21" fillId="5" borderId="5" applyNumberFormat="0" applyAlignment="0" applyProtection="0"/>
    <xf numFmtId="0" fontId="22" fillId="0" borderId="0" applyNumberFormat="0" applyFill="0" applyBorder="0" applyAlignment="0" applyProtection="0"/>
    <xf numFmtId="0" fontId="86" fillId="4" borderId="0" applyNumberFormat="0" applyBorder="0" applyAlignment="0" applyProtection="0"/>
    <xf numFmtId="0" fontId="87" fillId="8" borderId="0" applyNumberFormat="0" applyBorder="0" applyAlignment="0" applyProtection="0"/>
    <xf numFmtId="0" fontId="88" fillId="0" borderId="0" applyNumberFormat="0" applyFill="0" applyBorder="0" applyAlignment="0" applyProtection="0"/>
    <xf numFmtId="0" fontId="81" fillId="24" borderId="21" applyNumberFormat="0" applyFont="0" applyAlignment="0" applyProtection="0"/>
    <xf numFmtId="0" fontId="23" fillId="0" borderId="6" applyNumberFormat="0" applyFill="0" applyAlignment="0" applyProtection="0"/>
    <xf numFmtId="0" fontId="24" fillId="0" borderId="0" applyNumberFormat="0" applyFill="0" applyBorder="0" applyAlignment="0" applyProtection="0"/>
    <xf numFmtId="0" fontId="25" fillId="9" borderId="0" applyNumberFormat="0" applyBorder="0" applyAlignment="0" applyProtection="0"/>
    <xf numFmtId="0" fontId="100" fillId="0" borderId="0"/>
    <xf numFmtId="0" fontId="3" fillId="0" borderId="0"/>
    <xf numFmtId="0" fontId="2"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cellStyleXfs>
  <cellXfs count="568">
    <xf numFmtId="0" fontId="0" fillId="0" borderId="0" xfId="0"/>
    <xf numFmtId="0" fontId="6" fillId="0" borderId="0" xfId="0" applyFont="1" applyAlignment="1">
      <alignment vertical="center"/>
    </xf>
    <xf numFmtId="0" fontId="8" fillId="0" borderId="0" xfId="0" applyFont="1"/>
    <xf numFmtId="4" fontId="6" fillId="0" borderId="0" xfId="0" applyNumberFormat="1" applyFont="1" applyAlignment="1">
      <alignment vertical="center"/>
    </xf>
    <xf numFmtId="4" fontId="7" fillId="0" borderId="0" xfId="0" applyNumberFormat="1" applyFont="1" applyAlignment="1">
      <alignment vertical="center"/>
    </xf>
    <xf numFmtId="0" fontId="7" fillId="0" borderId="0" xfId="0" applyFont="1" applyAlignment="1">
      <alignment vertical="center"/>
    </xf>
    <xf numFmtId="164" fontId="7" fillId="0" borderId="0" xfId="0" applyNumberFormat="1" applyFont="1" applyAlignment="1">
      <alignment horizontal="right" vertical="center" wrapText="1"/>
    </xf>
    <xf numFmtId="0" fontId="39" fillId="0" borderId="0" xfId="0" applyFont="1" applyAlignment="1">
      <alignment vertical="center"/>
    </xf>
    <xf numFmtId="0" fontId="38" fillId="0" borderId="0" xfId="0" applyFont="1" applyAlignment="1">
      <alignment horizontal="center" vertical="center"/>
    </xf>
    <xf numFmtId="0" fontId="39" fillId="0" borderId="0" xfId="0" applyFont="1" applyAlignment="1">
      <alignment horizontal="center" vertical="center"/>
    </xf>
    <xf numFmtId="0" fontId="39" fillId="0" borderId="0" xfId="0" applyFont="1" applyAlignment="1">
      <alignment horizontal="right" vertical="center"/>
    </xf>
    <xf numFmtId="49" fontId="38" fillId="0" borderId="7" xfId="0" applyNumberFormat="1" applyFont="1" applyBorder="1" applyAlignment="1">
      <alignment horizontal="center" vertical="center" wrapText="1"/>
    </xf>
    <xf numFmtId="4" fontId="39" fillId="0" borderId="0" xfId="0" applyNumberFormat="1" applyFont="1" applyAlignment="1">
      <alignment horizontal="center" vertical="center"/>
    </xf>
    <xf numFmtId="0" fontId="45" fillId="0" borderId="0" xfId="0" applyFont="1"/>
    <xf numFmtId="4" fontId="45" fillId="0" borderId="0" xfId="0" applyNumberFormat="1" applyFont="1"/>
    <xf numFmtId="0" fontId="9" fillId="0" borderId="0" xfId="35" applyFont="1"/>
    <xf numFmtId="0" fontId="5" fillId="0" borderId="0" xfId="35"/>
    <xf numFmtId="0" fontId="13" fillId="0" borderId="7" xfId="35" applyFont="1" applyBorder="1" applyAlignment="1">
      <alignment horizontal="center" vertical="center" wrapText="1"/>
    </xf>
    <xf numFmtId="0" fontId="30" fillId="0" borderId="7" xfId="35" applyFont="1" applyBorder="1" applyAlignment="1">
      <alignment horizontal="center" vertical="center" wrapText="1"/>
    </xf>
    <xf numFmtId="4" fontId="55" fillId="0" borderId="0" xfId="0" applyNumberFormat="1" applyFont="1" applyAlignment="1">
      <alignment vertical="center"/>
    </xf>
    <xf numFmtId="0" fontId="5" fillId="6" borderId="0" xfId="35" applyFill="1"/>
    <xf numFmtId="4" fontId="56" fillId="0" borderId="0" xfId="0" applyNumberFormat="1" applyFont="1" applyAlignment="1">
      <alignment vertical="center"/>
    </xf>
    <xf numFmtId="0" fontId="56" fillId="0" borderId="0" xfId="0" applyFont="1" applyAlignment="1">
      <alignment vertical="center"/>
    </xf>
    <xf numFmtId="0" fontId="57" fillId="0" borderId="0" xfId="0" applyFont="1" applyAlignment="1">
      <alignment vertical="center"/>
    </xf>
    <xf numFmtId="4" fontId="58" fillId="0" borderId="0" xfId="0" applyNumberFormat="1" applyFont="1" applyAlignment="1">
      <alignment vertical="center"/>
    </xf>
    <xf numFmtId="0" fontId="5" fillId="0" borderId="0" xfId="39"/>
    <xf numFmtId="0" fontId="29" fillId="0" borderId="0" xfId="39" applyFont="1" applyAlignment="1">
      <alignment horizontal="center" vertical="center"/>
    </xf>
    <xf numFmtId="0" fontId="14" fillId="0" borderId="11" xfId="39" applyFont="1" applyBorder="1" applyAlignment="1">
      <alignment vertical="center"/>
    </xf>
    <xf numFmtId="0" fontId="5" fillId="0" borderId="0" xfId="39" applyAlignment="1">
      <alignment vertical="center" wrapText="1"/>
    </xf>
    <xf numFmtId="0" fontId="13" fillId="0" borderId="7" xfId="39" applyFont="1" applyBorder="1" applyAlignment="1">
      <alignment horizontal="center" vertical="center" wrapText="1"/>
    </xf>
    <xf numFmtId="0" fontId="29" fillId="0" borderId="0" xfId="39" applyFont="1" applyAlignment="1">
      <alignment wrapText="1"/>
    </xf>
    <xf numFmtId="0" fontId="30" fillId="0" borderId="7" xfId="39" applyFont="1" applyBorder="1" applyAlignment="1">
      <alignment horizontal="center" vertical="center" wrapText="1"/>
    </xf>
    <xf numFmtId="0" fontId="30" fillId="0" borderId="7" xfId="39" applyFont="1" applyBorder="1" applyAlignment="1">
      <alignment horizontal="left" vertical="center" wrapText="1"/>
    </xf>
    <xf numFmtId="4" fontId="31" fillId="0" borderId="7" xfId="39" applyNumberFormat="1" applyFont="1" applyBorder="1" applyAlignment="1">
      <alignment vertical="center" wrapText="1"/>
    </xf>
    <xf numFmtId="0" fontId="30" fillId="0" borderId="0" xfId="39" applyFont="1" applyAlignment="1">
      <alignment wrapText="1"/>
    </xf>
    <xf numFmtId="0" fontId="29" fillId="0" borderId="7" xfId="39" applyFont="1" applyBorder="1" applyAlignment="1">
      <alignment horizontal="center" vertical="center" wrapText="1"/>
    </xf>
    <xf numFmtId="0" fontId="13" fillId="0" borderId="7" xfId="39" applyFont="1" applyBorder="1" applyAlignment="1">
      <alignment vertical="center" wrapText="1"/>
    </xf>
    <xf numFmtId="4" fontId="15" fillId="0" borderId="7" xfId="39" applyNumberFormat="1" applyFont="1" applyBorder="1" applyAlignment="1">
      <alignment vertical="center" wrapText="1"/>
    </xf>
    <xf numFmtId="4" fontId="32" fillId="0" borderId="7" xfId="39" applyNumberFormat="1" applyFont="1" applyBorder="1" applyAlignment="1">
      <alignment vertical="center" wrapText="1"/>
    </xf>
    <xf numFmtId="0" fontId="60" fillId="0" borderId="0" xfId="39" applyFont="1" applyAlignment="1">
      <alignment wrapText="1"/>
    </xf>
    <xf numFmtId="0" fontId="35" fillId="0" borderId="7" xfId="39" applyFont="1" applyBorder="1" applyAlignment="1">
      <alignment vertical="center" wrapText="1"/>
    </xf>
    <xf numFmtId="4" fontId="36" fillId="0" borderId="7" xfId="39" applyNumberFormat="1" applyFont="1" applyBorder="1" applyAlignment="1">
      <alignment vertical="center" wrapText="1"/>
    </xf>
    <xf numFmtId="0" fontId="60" fillId="0" borderId="7" xfId="39" applyFont="1" applyBorder="1" applyAlignment="1">
      <alignment horizontal="center" vertical="center" wrapText="1"/>
    </xf>
    <xf numFmtId="0" fontId="60" fillId="0" borderId="7" xfId="39" applyFont="1" applyBorder="1" applyAlignment="1">
      <alignment vertical="center" wrapText="1"/>
    </xf>
    <xf numFmtId="4" fontId="34" fillId="0" borderId="7" xfId="39" applyNumberFormat="1" applyFont="1" applyBorder="1" applyAlignment="1">
      <alignment vertical="center" wrapText="1"/>
    </xf>
    <xf numFmtId="4" fontId="30" fillId="0" borderId="7" xfId="39" applyNumberFormat="1" applyFont="1" applyBorder="1" applyAlignment="1">
      <alignment horizontal="right" vertical="center" wrapText="1"/>
    </xf>
    <xf numFmtId="4" fontId="29" fillId="0" borderId="7" xfId="39" applyNumberFormat="1" applyFont="1" applyBorder="1" applyAlignment="1">
      <alignment horizontal="right" vertical="center" wrapText="1"/>
    </xf>
    <xf numFmtId="0" fontId="60" fillId="0" borderId="7" xfId="37" applyFont="1" applyBorder="1" applyAlignment="1">
      <alignment horizontal="justify" vertical="top" wrapText="1"/>
    </xf>
    <xf numFmtId="4" fontId="29" fillId="0" borderId="7" xfId="39" applyNumberFormat="1" applyFont="1" applyBorder="1" applyAlignment="1">
      <alignment vertical="center" wrapText="1"/>
    </xf>
    <xf numFmtId="4" fontId="37" fillId="0" borderId="7" xfId="39" applyNumberFormat="1" applyFont="1" applyBorder="1" applyAlignment="1">
      <alignment vertical="center" wrapText="1"/>
    </xf>
    <xf numFmtId="0" fontId="5" fillId="0" borderId="0" xfId="39" applyAlignment="1">
      <alignment wrapText="1"/>
    </xf>
    <xf numFmtId="0" fontId="30" fillId="0" borderId="7" xfId="39" applyFont="1" applyBorder="1" applyAlignment="1">
      <alignment vertical="center" wrapText="1"/>
    </xf>
    <xf numFmtId="0" fontId="31" fillId="0" borderId="7" xfId="37" applyFont="1" applyBorder="1" applyAlignment="1">
      <alignment horizontal="justify" vertical="top" wrapText="1"/>
    </xf>
    <xf numFmtId="4" fontId="33" fillId="0" borderId="7" xfId="39" applyNumberFormat="1" applyFont="1" applyBorder="1" applyAlignment="1">
      <alignment vertical="center" wrapText="1"/>
    </xf>
    <xf numFmtId="0" fontId="34" fillId="0" borderId="7" xfId="37" applyFont="1" applyBorder="1" applyAlignment="1">
      <alignment horizontal="justify" vertical="top" wrapText="1"/>
    </xf>
    <xf numFmtId="0" fontId="60" fillId="0" borderId="13" xfId="37" applyFont="1" applyBorder="1" applyAlignment="1">
      <alignment horizontal="justify" vertical="top" wrapText="1"/>
    </xf>
    <xf numFmtId="0" fontId="61" fillId="0" borderId="7" xfId="37" applyFont="1" applyBorder="1" applyAlignment="1">
      <alignment horizontal="justify" vertical="top" wrapText="1"/>
    </xf>
    <xf numFmtId="0" fontId="62" fillId="0" borderId="7" xfId="37" applyFont="1" applyBorder="1" applyAlignment="1">
      <alignment horizontal="justify" vertical="top" wrapText="1"/>
    </xf>
    <xf numFmtId="0" fontId="35" fillId="0" borderId="7" xfId="39" applyFont="1" applyBorder="1" applyAlignment="1">
      <alignment horizontal="center" vertical="center" wrapText="1"/>
    </xf>
    <xf numFmtId="0" fontId="36" fillId="0" borderId="7" xfId="37" applyFont="1" applyBorder="1" applyAlignment="1">
      <alignment horizontal="justify" vertical="top" wrapText="1"/>
    </xf>
    <xf numFmtId="0" fontId="34" fillId="0" borderId="7" xfId="37" applyFont="1" applyBorder="1" applyAlignment="1">
      <alignment vertical="top" wrapText="1"/>
    </xf>
    <xf numFmtId="0" fontId="5" fillId="0" borderId="7" xfId="39" applyBorder="1" applyAlignment="1">
      <alignment vertical="center" wrapText="1"/>
    </xf>
    <xf numFmtId="0" fontId="63" fillId="0" borderId="0" xfId="39" applyFont="1" applyAlignment="1">
      <alignment wrapText="1"/>
    </xf>
    <xf numFmtId="0" fontId="62" fillId="0" borderId="7" xfId="39" applyFont="1" applyBorder="1" applyAlignment="1">
      <alignment horizontal="center" vertical="center" wrapText="1"/>
    </xf>
    <xf numFmtId="0" fontId="61" fillId="0" borderId="7" xfId="37" applyFont="1" applyBorder="1" applyAlignment="1">
      <alignment vertical="top" wrapText="1"/>
    </xf>
    <xf numFmtId="4" fontId="61" fillId="0" borderId="7" xfId="39" applyNumberFormat="1" applyFont="1" applyBorder="1" applyAlignment="1">
      <alignment vertical="center" wrapText="1"/>
    </xf>
    <xf numFmtId="4" fontId="64" fillId="0" borderId="7" xfId="39" applyNumberFormat="1" applyFont="1" applyBorder="1" applyAlignment="1">
      <alignment vertical="center" wrapText="1"/>
    </xf>
    <xf numFmtId="0" fontId="65" fillId="0" borderId="7" xfId="37" applyFont="1" applyBorder="1" applyAlignment="1">
      <alignment horizontal="justify" vertical="top" wrapText="1"/>
    </xf>
    <xf numFmtId="0" fontId="66" fillId="0" borderId="7" xfId="37" applyFont="1" applyBorder="1" applyAlignment="1">
      <alignment horizontal="justify" vertical="top" wrapText="1"/>
    </xf>
    <xf numFmtId="0" fontId="29" fillId="0" borderId="7" xfId="39" applyFont="1" applyBorder="1" applyAlignment="1">
      <alignment vertical="center" wrapText="1"/>
    </xf>
    <xf numFmtId="0" fontId="67" fillId="0" borderId="7" xfId="37" applyFont="1" applyBorder="1" applyAlignment="1">
      <alignment horizontal="justify" vertical="top" wrapText="1"/>
    </xf>
    <xf numFmtId="0" fontId="13" fillId="0" borderId="7" xfId="37" applyFont="1" applyBorder="1" applyAlignment="1">
      <alignment horizontal="justify" vertical="top" wrapText="1"/>
    </xf>
    <xf numFmtId="0" fontId="11" fillId="0" borderId="7" xfId="37" applyFont="1" applyBorder="1" applyAlignment="1">
      <alignment horizontal="justify" vertical="top" wrapText="1"/>
    </xf>
    <xf numFmtId="0" fontId="62" fillId="0" borderId="7" xfId="0" applyFont="1" applyBorder="1" applyAlignment="1">
      <alignment horizontal="left" vertical="center" wrapText="1"/>
    </xf>
    <xf numFmtId="0" fontId="60" fillId="0" borderId="7" xfId="0" applyFont="1" applyBorder="1" applyAlignment="1">
      <alignment horizontal="left" vertical="center" wrapText="1"/>
    </xf>
    <xf numFmtId="0" fontId="5" fillId="0" borderId="7" xfId="39" applyBorder="1" applyAlignment="1">
      <alignment horizontal="center" vertical="center" wrapText="1"/>
    </xf>
    <xf numFmtId="0" fontId="59" fillId="0" borderId="7" xfId="39" applyFont="1" applyBorder="1" applyAlignment="1">
      <alignment vertical="center" wrapText="1"/>
    </xf>
    <xf numFmtId="0" fontId="10" fillId="0" borderId="0" xfId="39" applyFont="1"/>
    <xf numFmtId="2" fontId="5" fillId="0" borderId="0" xfId="39" applyNumberFormat="1"/>
    <xf numFmtId="4" fontId="5" fillId="0" borderId="0" xfId="39" applyNumberFormat="1"/>
    <xf numFmtId="0" fontId="15" fillId="0" borderId="0" xfId="0" applyFont="1"/>
    <xf numFmtId="0" fontId="14" fillId="0" borderId="7" xfId="0" applyFont="1" applyBorder="1" applyAlignment="1">
      <alignment horizontal="center" vertical="top" wrapText="1"/>
    </xf>
    <xf numFmtId="0" fontId="70" fillId="0" borderId="7" xfId="0" applyFont="1" applyBorder="1" applyAlignment="1">
      <alignment horizontal="center" vertical="top" wrapText="1"/>
    </xf>
    <xf numFmtId="4" fontId="13" fillId="0" borderId="7" xfId="0" applyNumberFormat="1" applyFont="1" applyBorder="1" applyAlignment="1">
      <alignment horizontal="center" vertical="center" wrapText="1"/>
    </xf>
    <xf numFmtId="0" fontId="5" fillId="0" borderId="7" xfId="0" applyFont="1" applyBorder="1" applyAlignment="1">
      <alignment horizontal="center" vertical="center" wrapText="1"/>
    </xf>
    <xf numFmtId="0" fontId="5" fillId="0" borderId="7" xfId="0" applyFont="1" applyBorder="1" applyAlignment="1">
      <alignment horizontal="left" vertical="center" wrapText="1"/>
    </xf>
    <xf numFmtId="0" fontId="71" fillId="0" borderId="0" xfId="35" applyFont="1"/>
    <xf numFmtId="0" fontId="11" fillId="0" borderId="0" xfId="35" applyFont="1" applyAlignment="1">
      <alignment horizontal="center" vertical="center" wrapText="1"/>
    </xf>
    <xf numFmtId="0" fontId="14" fillId="0" borderId="0" xfId="35" applyFont="1" applyAlignment="1">
      <alignment horizontal="center" vertical="center" wrapText="1"/>
    </xf>
    <xf numFmtId="0" fontId="11" fillId="0" borderId="0" xfId="35" applyFont="1" applyAlignment="1">
      <alignment horizontal="center"/>
    </xf>
    <xf numFmtId="0" fontId="71" fillId="0" borderId="0" xfId="35" applyFont="1" applyAlignment="1">
      <alignment horizontal="center"/>
    </xf>
    <xf numFmtId="0" fontId="14" fillId="0" borderId="0" xfId="35" applyFont="1" applyAlignment="1">
      <alignment horizontal="right"/>
    </xf>
    <xf numFmtId="0" fontId="71" fillId="0" borderId="15" xfId="35" applyFont="1" applyBorder="1"/>
    <xf numFmtId="0" fontId="71" fillId="0" borderId="16" xfId="35" applyFont="1" applyBorder="1"/>
    <xf numFmtId="0" fontId="60" fillId="0" borderId="0" xfId="35" applyFont="1"/>
    <xf numFmtId="0" fontId="72" fillId="0" borderId="0" xfId="35" applyFont="1"/>
    <xf numFmtId="0" fontId="73" fillId="0" borderId="0" xfId="36" applyFont="1">
      <alignment vertical="top"/>
    </xf>
    <xf numFmtId="0" fontId="68" fillId="0" borderId="0" xfId="36">
      <alignment vertical="top"/>
    </xf>
    <xf numFmtId="0" fontId="73" fillId="0" borderId="0" xfId="36" applyFont="1" applyAlignment="1">
      <alignment horizontal="center" vertical="top"/>
    </xf>
    <xf numFmtId="0" fontId="10" fillId="0" borderId="0" xfId="36" applyFont="1" applyAlignment="1">
      <alignment horizontal="center" vertical="top"/>
    </xf>
    <xf numFmtId="2" fontId="68" fillId="0" borderId="0" xfId="36" applyNumberFormat="1" applyAlignment="1">
      <alignment horizontal="center" vertical="top"/>
    </xf>
    <xf numFmtId="2" fontId="73" fillId="0" borderId="7" xfId="36" applyNumberFormat="1" applyFont="1" applyBorder="1" applyAlignment="1">
      <alignment horizontal="center" vertical="center"/>
    </xf>
    <xf numFmtId="2" fontId="10" fillId="0" borderId="0" xfId="36" applyNumberFormat="1" applyFont="1" applyAlignment="1">
      <alignment horizontal="center" vertical="top"/>
    </xf>
    <xf numFmtId="2" fontId="9" fillId="0" borderId="7" xfId="36" applyNumberFormat="1" applyFont="1" applyBorder="1" applyAlignment="1">
      <alignment horizontal="center" vertical="center" wrapText="1"/>
    </xf>
    <xf numFmtId="0" fontId="75" fillId="0" borderId="0" xfId="36" applyFont="1" applyAlignment="1">
      <alignment horizontal="center" vertical="top" wrapText="1"/>
    </xf>
    <xf numFmtId="2" fontId="75" fillId="0" borderId="0" xfId="36" applyNumberFormat="1" applyFont="1" applyAlignment="1">
      <alignment horizontal="center" vertical="top" wrapText="1"/>
    </xf>
    <xf numFmtId="165" fontId="9" fillId="0" borderId="0" xfId="36" applyNumberFormat="1" applyFont="1" applyAlignment="1">
      <alignment horizontal="center" vertical="top"/>
    </xf>
    <xf numFmtId="0" fontId="77" fillId="0" borderId="0" xfId="38" applyFont="1" applyAlignment="1" applyProtection="1">
      <alignment horizontal="left" vertical="center" wrapText="1"/>
      <protection locked="0"/>
    </xf>
    <xf numFmtId="0" fontId="75" fillId="0" borderId="0" xfId="36" applyFont="1" applyAlignment="1">
      <alignment horizontal="left" vertical="top" wrapText="1"/>
    </xf>
    <xf numFmtId="0" fontId="79" fillId="0" borderId="0" xfId="0" applyFont="1"/>
    <xf numFmtId="0" fontId="12" fillId="0" borderId="0" xfId="39" applyFont="1"/>
    <xf numFmtId="0" fontId="13" fillId="0" borderId="7" xfId="0" applyFont="1" applyBorder="1" applyAlignment="1">
      <alignment horizontal="left" vertical="center" wrapText="1"/>
    </xf>
    <xf numFmtId="0" fontId="89" fillId="0" borderId="0" xfId="0" applyFont="1" applyAlignment="1">
      <alignment vertical="center"/>
    </xf>
    <xf numFmtId="2" fontId="90" fillId="0" borderId="0" xfId="36" applyNumberFormat="1" applyFont="1" applyAlignment="1">
      <alignment horizontal="center" vertical="top"/>
    </xf>
    <xf numFmtId="4" fontId="5" fillId="0" borderId="0" xfId="35" applyNumberFormat="1"/>
    <xf numFmtId="4" fontId="91" fillId="0" borderId="0" xfId="0" applyNumberFormat="1" applyFont="1" applyAlignment="1">
      <alignment vertical="center"/>
    </xf>
    <xf numFmtId="4" fontId="92" fillId="0" borderId="0" xfId="0" applyNumberFormat="1" applyFont="1" applyAlignment="1">
      <alignment vertical="center"/>
    </xf>
    <xf numFmtId="0" fontId="94" fillId="0" borderId="0" xfId="0" applyFont="1" applyAlignment="1">
      <alignment horizontal="left" vertical="center"/>
    </xf>
    <xf numFmtId="0" fontId="96" fillId="0" borderId="0" xfId="0" applyFont="1" applyAlignment="1">
      <alignment horizontal="left" vertical="center"/>
    </xf>
    <xf numFmtId="0" fontId="53" fillId="0" borderId="0" xfId="0" applyFont="1"/>
    <xf numFmtId="0" fontId="5" fillId="0" borderId="0" xfId="0" applyFont="1"/>
    <xf numFmtId="0" fontId="97" fillId="0" borderId="7" xfId="0" applyFont="1" applyBorder="1" applyAlignment="1">
      <alignment horizontal="center" vertical="center" wrapText="1"/>
    </xf>
    <xf numFmtId="0" fontId="10" fillId="0" borderId="7" xfId="35" applyFont="1" applyBorder="1" applyAlignment="1">
      <alignment horizontal="center" vertical="center" wrapText="1"/>
    </xf>
    <xf numFmtId="0" fontId="97" fillId="0" borderId="7" xfId="0" applyFont="1" applyBorder="1" applyAlignment="1">
      <alignment horizontal="center" vertical="center"/>
    </xf>
    <xf numFmtId="4" fontId="97" fillId="25" borderId="7" xfId="0" applyNumberFormat="1" applyFont="1" applyFill="1" applyBorder="1" applyAlignment="1">
      <alignment horizontal="center" vertical="center"/>
    </xf>
    <xf numFmtId="0" fontId="9" fillId="0" borderId="0" xfId="0" applyFont="1"/>
    <xf numFmtId="2" fontId="9" fillId="0" borderId="0" xfId="36" applyNumberFormat="1" applyFont="1">
      <alignment vertical="top"/>
    </xf>
    <xf numFmtId="0" fontId="97" fillId="0" borderId="0" xfId="0" applyFont="1" applyAlignment="1">
      <alignment horizontal="center" vertical="center"/>
    </xf>
    <xf numFmtId="4" fontId="97" fillId="0" borderId="0" xfId="0" applyNumberFormat="1" applyFont="1" applyAlignment="1">
      <alignment horizontal="center" vertical="center"/>
    </xf>
    <xf numFmtId="4" fontId="101" fillId="0" borderId="0" xfId="0" applyNumberFormat="1" applyFont="1" applyAlignment="1">
      <alignment vertical="center"/>
    </xf>
    <xf numFmtId="0" fontId="10" fillId="0" borderId="7" xfId="37" applyFont="1" applyBorder="1" applyAlignment="1">
      <alignment horizontal="justify" vertical="top" wrapText="1"/>
    </xf>
    <xf numFmtId="0" fontId="29" fillId="0" borderId="7" xfId="37" applyFont="1" applyBorder="1" applyAlignment="1">
      <alignment horizontal="justify" vertical="top" wrapText="1"/>
    </xf>
    <xf numFmtId="0" fontId="13" fillId="0" borderId="7" xfId="0" applyFont="1" applyBorder="1" applyAlignment="1">
      <alignment horizontal="center" vertical="center" wrapText="1"/>
    </xf>
    <xf numFmtId="4" fontId="8" fillId="0" borderId="0" xfId="0" applyNumberFormat="1" applyFont="1"/>
    <xf numFmtId="0" fontId="5" fillId="26" borderId="0" xfId="35" applyFill="1"/>
    <xf numFmtId="0" fontId="5" fillId="0" borderId="0" xfId="35" applyAlignment="1">
      <alignment horizontal="center" vertical="center"/>
    </xf>
    <xf numFmtId="0" fontId="102" fillId="0" borderId="0" xfId="35" applyFont="1"/>
    <xf numFmtId="4" fontId="78" fillId="0" borderId="0" xfId="0" applyNumberFormat="1" applyFont="1" applyAlignment="1">
      <alignment horizontal="left" vertical="center"/>
    </xf>
    <xf numFmtId="4" fontId="41" fillId="29" borderId="7" xfId="0" applyNumberFormat="1" applyFont="1" applyFill="1" applyBorder="1" applyAlignment="1">
      <alignment horizontal="center" vertical="center"/>
    </xf>
    <xf numFmtId="0" fontId="30" fillId="29" borderId="7" xfId="35" applyFont="1" applyFill="1" applyBorder="1" applyAlignment="1">
      <alignment horizontal="center" vertical="center" wrapText="1"/>
    </xf>
    <xf numFmtId="4" fontId="30" fillId="29" borderId="7" xfId="35" applyNumberFormat="1" applyFont="1" applyFill="1" applyBorder="1" applyAlignment="1">
      <alignment horizontal="center" vertical="center"/>
    </xf>
    <xf numFmtId="4" fontId="31" fillId="29" borderId="7" xfId="35" applyNumberFormat="1" applyFont="1" applyFill="1" applyBorder="1" applyAlignment="1">
      <alignment horizontal="center" vertical="center"/>
    </xf>
    <xf numFmtId="2" fontId="68" fillId="29" borderId="7" xfId="36" applyNumberFormat="1" applyFill="1" applyBorder="1" applyAlignment="1">
      <alignment horizontal="center" vertical="center" wrapText="1"/>
    </xf>
    <xf numFmtId="4" fontId="76" fillId="29" borderId="7" xfId="36" applyNumberFormat="1" applyFont="1" applyFill="1" applyBorder="1" applyAlignment="1">
      <alignment horizontal="center" vertical="center"/>
    </xf>
    <xf numFmtId="2" fontId="9" fillId="29" borderId="7" xfId="36" applyNumberFormat="1" applyFont="1" applyFill="1" applyBorder="1" applyAlignment="1">
      <alignment horizontal="center" vertical="center" wrapText="1"/>
    </xf>
    <xf numFmtId="4" fontId="76" fillId="29" borderId="7" xfId="36" applyNumberFormat="1" applyFont="1" applyFill="1" applyBorder="1" applyAlignment="1">
      <alignment horizontal="center" vertical="center" wrapText="1"/>
    </xf>
    <xf numFmtId="4" fontId="97" fillId="29" borderId="7" xfId="0" applyNumberFormat="1" applyFont="1" applyFill="1" applyBorder="1" applyAlignment="1">
      <alignment horizontal="center" vertical="center"/>
    </xf>
    <xf numFmtId="4" fontId="39" fillId="0" borderId="0" xfId="0" applyNumberFormat="1" applyFont="1" applyAlignment="1">
      <alignment horizontal="left" vertical="center"/>
    </xf>
    <xf numFmtId="4" fontId="41" fillId="27" borderId="0" xfId="0" applyNumberFormat="1" applyFont="1" applyFill="1" applyAlignment="1">
      <alignment horizontal="center" vertical="center" wrapText="1"/>
    </xf>
    <xf numFmtId="4" fontId="41" fillId="27" borderId="0" xfId="0" applyNumberFormat="1" applyFont="1" applyFill="1" applyAlignment="1">
      <alignment horizontal="left" vertical="center" wrapText="1"/>
    </xf>
    <xf numFmtId="0" fontId="5" fillId="28" borderId="0" xfId="35" applyFill="1"/>
    <xf numFmtId="0" fontId="48" fillId="0" borderId="7" xfId="39" applyFont="1" applyBorder="1" applyAlignment="1">
      <alignment horizontal="center" vertical="center" wrapText="1"/>
    </xf>
    <xf numFmtId="0" fontId="48" fillId="0" borderId="0" xfId="39" applyFont="1" applyAlignment="1">
      <alignment wrapText="1"/>
    </xf>
    <xf numFmtId="0" fontId="103" fillId="0" borderId="0" xfId="0" applyFont="1"/>
    <xf numFmtId="164" fontId="32" fillId="0" borderId="7" xfId="30" applyNumberFormat="1" applyFont="1" applyBorder="1" applyAlignment="1">
      <alignment horizontal="center" vertical="center" wrapText="1"/>
    </xf>
    <xf numFmtId="0" fontId="98" fillId="0" borderId="7" xfId="0" applyFont="1" applyBorder="1" applyAlignment="1">
      <alignment horizontal="center" vertical="center"/>
    </xf>
    <xf numFmtId="0" fontId="98" fillId="0" borderId="7" xfId="0" applyFont="1" applyBorder="1" applyAlignment="1">
      <alignment horizontal="left" vertical="center" wrapText="1"/>
    </xf>
    <xf numFmtId="4" fontId="98" fillId="0" borderId="7" xfId="0" applyNumberFormat="1" applyFont="1" applyBorder="1" applyAlignment="1">
      <alignment horizontal="center" vertical="center"/>
    </xf>
    <xf numFmtId="0" fontId="9" fillId="0" borderId="7" xfId="0" applyFont="1" applyBorder="1" applyAlignment="1">
      <alignment horizontal="left" vertical="center" wrapText="1"/>
    </xf>
    <xf numFmtId="0" fontId="43" fillId="0" borderId="0" xfId="0" applyFont="1"/>
    <xf numFmtId="0" fontId="29" fillId="0" borderId="0" xfId="35" applyFont="1" applyAlignment="1">
      <alignment horizontal="center" vertical="center" wrapText="1"/>
    </xf>
    <xf numFmtId="4" fontId="30" fillId="0" borderId="0" xfId="35" applyNumberFormat="1" applyFont="1" applyAlignment="1">
      <alignment horizontal="center" vertical="center"/>
    </xf>
    <xf numFmtId="0" fontId="104" fillId="0" borderId="0" xfId="0" applyFont="1" applyAlignment="1">
      <alignment vertical="center"/>
    </xf>
    <xf numFmtId="4" fontId="105" fillId="0" borderId="0" xfId="0" applyNumberFormat="1" applyFont="1" applyAlignment="1">
      <alignment vertical="center"/>
    </xf>
    <xf numFmtId="4" fontId="106" fillId="0" borderId="0" xfId="0" applyNumberFormat="1" applyFont="1" applyAlignment="1">
      <alignment vertical="center"/>
    </xf>
    <xf numFmtId="0" fontId="106" fillId="0" borderId="0" xfId="0" applyFont="1" applyAlignment="1">
      <alignment vertical="center"/>
    </xf>
    <xf numFmtId="4" fontId="104" fillId="0" borderId="0" xfId="0" applyNumberFormat="1" applyFont="1" applyAlignment="1">
      <alignment vertical="center"/>
    </xf>
    <xf numFmtId="0" fontId="105" fillId="0" borderId="0" xfId="0" applyFont="1" applyAlignment="1">
      <alignment vertical="center"/>
    </xf>
    <xf numFmtId="0" fontId="51" fillId="0" borderId="0" xfId="35" applyFont="1"/>
    <xf numFmtId="0" fontId="98" fillId="0" borderId="0" xfId="0" applyFont="1" applyAlignment="1">
      <alignment horizontal="center" vertical="center"/>
    </xf>
    <xf numFmtId="4" fontId="98" fillId="0" borderId="0" xfId="0" applyNumberFormat="1" applyFont="1" applyAlignment="1">
      <alignment horizontal="center" vertical="center"/>
    </xf>
    <xf numFmtId="4" fontId="98" fillId="0" borderId="0" xfId="0" applyNumberFormat="1" applyFont="1" applyAlignment="1">
      <alignment horizontal="left" vertical="center"/>
    </xf>
    <xf numFmtId="0" fontId="98" fillId="0" borderId="0" xfId="0" applyFont="1" applyAlignment="1">
      <alignment horizontal="right" vertical="center"/>
    </xf>
    <xf numFmtId="2" fontId="12" fillId="0" borderId="0" xfId="36" applyNumberFormat="1" applyFont="1">
      <alignment vertical="top"/>
    </xf>
    <xf numFmtId="0" fontId="12" fillId="0" borderId="0" xfId="36" applyFont="1">
      <alignment vertical="top"/>
    </xf>
    <xf numFmtId="0" fontId="9" fillId="0" borderId="0" xfId="39" applyFont="1"/>
    <xf numFmtId="0" fontId="62" fillId="0" borderId="7" xfId="39" applyFont="1" applyBorder="1" applyAlignment="1">
      <alignment vertical="center" wrapText="1"/>
    </xf>
    <xf numFmtId="0" fontId="37" fillId="0" borderId="0" xfId="0" applyFont="1" applyAlignment="1">
      <alignment horizontal="right"/>
    </xf>
    <xf numFmtId="164" fontId="6" fillId="0" borderId="0" xfId="0" applyNumberFormat="1" applyFont="1" applyAlignment="1">
      <alignment horizontal="right" vertical="center" wrapText="1"/>
    </xf>
    <xf numFmtId="0" fontId="101" fillId="0" borderId="0" xfId="0" applyFont="1" applyAlignment="1">
      <alignment vertical="center"/>
    </xf>
    <xf numFmtId="0" fontId="5" fillId="0" borderId="11" xfId="35" applyBorder="1" applyAlignment="1">
      <alignment horizontal="right" vertical="center"/>
    </xf>
    <xf numFmtId="0" fontId="30" fillId="29" borderId="7" xfId="35" applyFont="1" applyFill="1" applyBorder="1" applyAlignment="1">
      <alignment horizontal="left" vertical="center" wrapText="1"/>
    </xf>
    <xf numFmtId="0" fontId="38" fillId="29" borderId="7" xfId="0" applyFont="1" applyFill="1" applyBorder="1" applyAlignment="1">
      <alignment horizontal="center" vertical="center"/>
    </xf>
    <xf numFmtId="0" fontId="38" fillId="29" borderId="7" xfId="0" applyFont="1" applyFill="1" applyBorder="1" applyAlignment="1">
      <alignment horizontal="left" vertical="center"/>
    </xf>
    <xf numFmtId="49" fontId="30" fillId="29" borderId="7" xfId="35" applyNumberFormat="1" applyFont="1" applyFill="1" applyBorder="1" applyAlignment="1">
      <alignment horizontal="center" vertical="center" wrapText="1"/>
    </xf>
    <xf numFmtId="0" fontId="107" fillId="0" borderId="7" xfId="35" applyFont="1" applyBorder="1" applyAlignment="1">
      <alignment horizontal="center" vertical="center" wrapText="1"/>
    </xf>
    <xf numFmtId="0" fontId="13" fillId="0" borderId="7" xfId="0" applyFont="1" applyBorder="1" applyAlignment="1">
      <alignment horizontal="center" vertical="center"/>
    </xf>
    <xf numFmtId="0" fontId="30" fillId="0" borderId="8" xfId="0" applyFont="1" applyBorder="1" applyAlignment="1">
      <alignment horizontal="center" vertical="center" wrapText="1"/>
    </xf>
    <xf numFmtId="0" fontId="9" fillId="0" borderId="0" xfId="36" applyFont="1" applyAlignment="1">
      <alignment horizontal="right" vertical="top"/>
    </xf>
    <xf numFmtId="0" fontId="38" fillId="0" borderId="7" xfId="0" applyFont="1" applyBorder="1" applyAlignment="1">
      <alignment horizontal="center" vertical="center" wrapText="1"/>
    </xf>
    <xf numFmtId="4" fontId="44" fillId="28" borderId="9" xfId="0" applyNumberFormat="1" applyFont="1" applyFill="1" applyBorder="1" applyAlignment="1">
      <alignment horizontal="center" vertical="center" wrapText="1"/>
    </xf>
    <xf numFmtId="0" fontId="108" fillId="0" borderId="0" xfId="0" applyFont="1" applyAlignment="1">
      <alignment horizontal="center" vertical="center"/>
    </xf>
    <xf numFmtId="49" fontId="29" fillId="0" borderId="7" xfId="35" applyNumberFormat="1" applyFont="1" applyBorder="1" applyAlignment="1">
      <alignment horizontal="center" vertical="center" wrapText="1"/>
    </xf>
    <xf numFmtId="0" fontId="29" fillId="0" borderId="7" xfId="35" applyFont="1" applyBorder="1" applyAlignment="1">
      <alignment horizontal="center" vertical="center" wrapText="1"/>
    </xf>
    <xf numFmtId="4" fontId="29" fillId="0" borderId="7" xfId="35" applyNumberFormat="1" applyFont="1" applyBorder="1" applyAlignment="1">
      <alignment horizontal="center" vertical="center"/>
    </xf>
    <xf numFmtId="49" fontId="30" fillId="0" borderId="7" xfId="35" applyNumberFormat="1" applyFont="1" applyBorder="1" applyAlignment="1">
      <alignment horizontal="center" vertical="center" wrapText="1"/>
    </xf>
    <xf numFmtId="49" fontId="30" fillId="0" borderId="7" xfId="0" applyNumberFormat="1" applyFont="1" applyBorder="1" applyAlignment="1">
      <alignment horizontal="center" vertical="center" wrapText="1"/>
    </xf>
    <xf numFmtId="4" fontId="30" fillId="0" borderId="7" xfId="35" applyNumberFormat="1" applyFont="1" applyBorder="1" applyAlignment="1">
      <alignment horizontal="center" vertical="center"/>
    </xf>
    <xf numFmtId="49" fontId="48" fillId="0" borderId="7" xfId="35" applyNumberFormat="1" applyFont="1" applyBorder="1" applyAlignment="1">
      <alignment horizontal="center" vertical="center" wrapText="1"/>
    </xf>
    <xf numFmtId="49" fontId="48" fillId="0" borderId="7" xfId="0" applyNumberFormat="1" applyFont="1" applyBorder="1" applyAlignment="1">
      <alignment horizontal="center" vertical="center" wrapText="1"/>
    </xf>
    <xf numFmtId="4" fontId="48" fillId="0" borderId="7" xfId="35" applyNumberFormat="1" applyFont="1" applyBorder="1" applyAlignment="1">
      <alignment horizontal="center" vertical="center"/>
    </xf>
    <xf numFmtId="2" fontId="10" fillId="0" borderId="0" xfId="38" applyNumberFormat="1" applyFont="1" applyAlignment="1" applyProtection="1">
      <alignment vertical="center" wrapText="1"/>
      <protection locked="0"/>
    </xf>
    <xf numFmtId="2" fontId="109" fillId="0" borderId="0" xfId="0" applyNumberFormat="1" applyFont="1" applyAlignment="1">
      <alignment horizontal="center" vertical="center"/>
    </xf>
    <xf numFmtId="0" fontId="79" fillId="0" borderId="0" xfId="0" applyFont="1" applyAlignment="1">
      <alignment horizontal="center" vertical="center"/>
    </xf>
    <xf numFmtId="4" fontId="41" fillId="30" borderId="7" xfId="0" applyNumberFormat="1" applyFont="1" applyFill="1" applyBorder="1" applyAlignment="1">
      <alignment horizontal="center" vertical="center"/>
    </xf>
    <xf numFmtId="49" fontId="9" fillId="0" borderId="7" xfId="0" applyNumberFormat="1" applyFont="1" applyBorder="1" applyAlignment="1">
      <alignment horizontal="center" vertical="center" wrapText="1"/>
    </xf>
    <xf numFmtId="2" fontId="112" fillId="0" borderId="0" xfId="36" applyNumberFormat="1" applyFont="1" applyAlignment="1">
      <alignment horizontal="center" vertical="top"/>
    </xf>
    <xf numFmtId="0" fontId="10" fillId="0" borderId="7" xfId="39" applyFont="1" applyBorder="1" applyAlignment="1">
      <alignment horizontal="center" vertical="center" wrapText="1"/>
    </xf>
    <xf numFmtId="0" fontId="5" fillId="0" borderId="0" xfId="0" applyFont="1" applyAlignment="1">
      <alignment horizontal="left" vertical="center" wrapText="1"/>
    </xf>
    <xf numFmtId="0" fontId="69" fillId="0" borderId="0" xfId="0" applyFont="1" applyAlignment="1">
      <alignment horizontal="center"/>
    </xf>
    <xf numFmtId="0" fontId="61" fillId="0" borderId="7" xfId="0" applyFont="1" applyBorder="1" applyAlignment="1">
      <alignment horizontal="center" vertical="center" wrapText="1"/>
    </xf>
    <xf numFmtId="0" fontId="3" fillId="0" borderId="0" xfId="0" applyFont="1"/>
    <xf numFmtId="4" fontId="3" fillId="0" borderId="0" xfId="0" applyNumberFormat="1" applyFont="1"/>
    <xf numFmtId="4" fontId="5" fillId="0" borderId="7" xfId="0" applyNumberFormat="1" applyFont="1" applyBorder="1" applyAlignment="1">
      <alignment horizontal="center" vertical="center" wrapText="1"/>
    </xf>
    <xf numFmtId="0" fontId="114" fillId="0" borderId="0" xfId="0" applyFont="1"/>
    <xf numFmtId="0" fontId="114" fillId="0" borderId="0" xfId="36" applyFont="1">
      <alignment vertical="top"/>
    </xf>
    <xf numFmtId="0" fontId="114" fillId="0" borderId="0" xfId="35" applyFont="1"/>
    <xf numFmtId="0" fontId="43" fillId="0" borderId="0" xfId="36" applyFont="1">
      <alignment vertical="top"/>
    </xf>
    <xf numFmtId="0" fontId="43" fillId="0" borderId="0" xfId="35" applyFont="1" applyAlignment="1">
      <alignment horizontal="center" vertical="center"/>
    </xf>
    <xf numFmtId="0" fontId="43" fillId="0" borderId="0" xfId="35" applyFont="1"/>
    <xf numFmtId="4" fontId="115" fillId="0" borderId="0" xfId="0" applyNumberFormat="1" applyFont="1" applyAlignment="1">
      <alignment horizontal="center" vertical="center"/>
    </xf>
    <xf numFmtId="4" fontId="116" fillId="0" borderId="0" xfId="0" applyNumberFormat="1" applyFont="1" applyAlignment="1">
      <alignment vertical="center"/>
    </xf>
    <xf numFmtId="0" fontId="117" fillId="0" borderId="0" xfId="86" applyFont="1" applyAlignment="1">
      <alignment vertical="center"/>
    </xf>
    <xf numFmtId="0" fontId="2" fillId="0" borderId="0" xfId="86"/>
    <xf numFmtId="0" fontId="117" fillId="0" borderId="0" xfId="86" applyFont="1" applyAlignment="1">
      <alignment horizontal="center" vertical="center" wrapText="1"/>
    </xf>
    <xf numFmtId="0" fontId="119" fillId="0" borderId="7" xfId="86" applyFont="1" applyBorder="1" applyAlignment="1">
      <alignment horizontal="center" vertical="center" wrapText="1"/>
    </xf>
    <xf numFmtId="0" fontId="120" fillId="0" borderId="7" xfId="86" applyFont="1" applyBorder="1" applyAlignment="1">
      <alignment horizontal="center" vertical="center" wrapText="1"/>
    </xf>
    <xf numFmtId="49" fontId="117" fillId="0" borderId="7" xfId="86" applyNumberFormat="1" applyFont="1" applyBorder="1" applyAlignment="1">
      <alignment horizontal="center" vertical="center" wrapText="1"/>
    </xf>
    <xf numFmtId="0" fontId="117" fillId="0" borderId="7" xfId="86" applyFont="1" applyBorder="1" applyAlignment="1">
      <alignment horizontal="center" vertical="center" wrapText="1"/>
    </xf>
    <xf numFmtId="166" fontId="117" fillId="0" borderId="7" xfId="86" applyNumberFormat="1" applyFont="1" applyBorder="1" applyAlignment="1">
      <alignment horizontal="center" vertical="center" wrapText="1"/>
    </xf>
    <xf numFmtId="0" fontId="121" fillId="0" borderId="7" xfId="86" applyFont="1" applyBorder="1" applyAlignment="1">
      <alignment horizontal="center" vertical="center" wrapText="1"/>
    </xf>
    <xf numFmtId="0" fontId="122" fillId="0" borderId="7" xfId="86" applyFont="1" applyBorder="1" applyAlignment="1">
      <alignment horizontal="center" vertical="center" wrapText="1"/>
    </xf>
    <xf numFmtId="0" fontId="123" fillId="0" borderId="0" xfId="86" applyFont="1" applyAlignment="1">
      <alignment vertical="center"/>
    </xf>
    <xf numFmtId="0" fontId="29" fillId="0" borderId="0" xfId="35" applyFont="1"/>
    <xf numFmtId="0" fontId="98" fillId="0" borderId="17" xfId="0" applyFont="1" applyBorder="1" applyAlignment="1">
      <alignment horizontal="center" vertical="center"/>
    </xf>
    <xf numFmtId="0" fontId="9" fillId="0" borderId="14" xfId="0" applyFont="1" applyBorder="1" applyAlignment="1">
      <alignment horizontal="left" vertical="center" wrapText="1"/>
    </xf>
    <xf numFmtId="4" fontId="78" fillId="0" borderId="0" xfId="0" applyNumberFormat="1" applyFont="1" applyAlignment="1">
      <alignment horizontal="left"/>
    </xf>
    <xf numFmtId="0" fontId="125" fillId="0" borderId="0" xfId="0" applyFont="1" applyAlignment="1">
      <alignment horizontal="center" vertical="center"/>
    </xf>
    <xf numFmtId="4" fontId="42" fillId="0" borderId="0" xfId="0" applyNumberFormat="1" applyFont="1" applyAlignment="1">
      <alignment horizontal="center" vertical="center" wrapText="1"/>
    </xf>
    <xf numFmtId="164" fontId="32" fillId="0" borderId="0" xfId="30" applyNumberFormat="1" applyFont="1" applyAlignment="1">
      <alignment horizontal="center" vertical="center" wrapText="1"/>
    </xf>
    <xf numFmtId="0" fontId="5" fillId="0" borderId="7" xfId="35" applyBorder="1"/>
    <xf numFmtId="0" fontId="5" fillId="32" borderId="0" xfId="35" applyFill="1"/>
    <xf numFmtId="4" fontId="43" fillId="0" borderId="0" xfId="0" applyNumberFormat="1" applyFont="1" applyAlignment="1">
      <alignment horizontal="center" vertical="center" wrapText="1"/>
    </xf>
    <xf numFmtId="4" fontId="44" fillId="28" borderId="22" xfId="0" applyNumberFormat="1" applyFont="1" applyFill="1" applyBorder="1" applyAlignment="1">
      <alignment horizontal="center" vertical="center" wrapText="1"/>
    </xf>
    <xf numFmtId="4" fontId="126" fillId="0" borderId="0" xfId="0" applyNumberFormat="1" applyFont="1" applyAlignment="1">
      <alignment horizontal="left" vertical="center"/>
    </xf>
    <xf numFmtId="4" fontId="108" fillId="0" borderId="0" xfId="0" applyNumberFormat="1" applyFont="1" applyAlignment="1">
      <alignment horizontal="center" vertical="center"/>
    </xf>
    <xf numFmtId="0" fontId="127" fillId="0" borderId="0" xfId="35" applyFont="1" applyAlignment="1">
      <alignment horizontal="left"/>
    </xf>
    <xf numFmtId="167" fontId="91" fillId="0" borderId="0" xfId="0" applyNumberFormat="1" applyFont="1" applyAlignment="1">
      <alignment vertical="center"/>
    </xf>
    <xf numFmtId="168" fontId="101" fillId="0" borderId="0" xfId="0" applyNumberFormat="1" applyFont="1" applyAlignment="1">
      <alignment vertical="center"/>
    </xf>
    <xf numFmtId="0" fontId="0" fillId="0" borderId="0" xfId="0"/>
    <xf numFmtId="0" fontId="0" fillId="0" borderId="0" xfId="0"/>
    <xf numFmtId="49" fontId="39" fillId="25" borderId="7" xfId="0" applyNumberFormat="1" applyFont="1" applyFill="1" applyBorder="1" applyAlignment="1">
      <alignment horizontal="center" vertical="center" wrapText="1"/>
    </xf>
    <xf numFmtId="164" fontId="110" fillId="25" borderId="7" xfId="30" applyNumberFormat="1" applyFont="1" applyFill="1" applyBorder="1" applyAlignment="1">
      <alignment horizontal="center" vertical="center" wrapText="1"/>
    </xf>
    <xf numFmtId="4" fontId="43" fillId="25" borderId="7" xfId="0" applyNumberFormat="1" applyFont="1" applyFill="1" applyBorder="1" applyAlignment="1">
      <alignment horizontal="center" vertical="center" wrapText="1"/>
    </xf>
    <xf numFmtId="4" fontId="43" fillId="25" borderId="7" xfId="38" applyNumberFormat="1" applyFont="1" applyFill="1" applyBorder="1" applyAlignment="1" applyProtection="1">
      <alignment horizontal="center" vertical="center" wrapText="1"/>
      <protection locked="0"/>
    </xf>
    <xf numFmtId="4" fontId="41" fillId="25" borderId="7" xfId="0" applyNumberFormat="1" applyFont="1" applyFill="1" applyBorder="1" applyAlignment="1">
      <alignment horizontal="center" vertical="center" wrapText="1"/>
    </xf>
    <xf numFmtId="49" fontId="39" fillId="25" borderId="8" xfId="0" applyNumberFormat="1" applyFont="1" applyFill="1" applyBorder="1" applyAlignment="1">
      <alignment horizontal="center" vertical="center" wrapText="1"/>
    </xf>
    <xf numFmtId="0" fontId="110" fillId="25" borderId="7" xfId="0" applyFont="1" applyFill="1" applyBorder="1" applyAlignment="1">
      <alignment horizontal="center" vertical="center" wrapText="1"/>
    </xf>
    <xf numFmtId="4" fontId="43" fillId="25" borderId="7" xfId="38" applyNumberFormat="1" applyFont="1" applyFill="1" applyBorder="1" applyAlignment="1">
      <alignment horizontal="center" vertical="center" wrapText="1"/>
    </xf>
    <xf numFmtId="4" fontId="41" fillId="25" borderId="7" xfId="38" applyNumberFormat="1" applyFont="1" applyFill="1" applyBorder="1" applyAlignment="1" applyProtection="1">
      <alignment horizontal="center" vertical="center" wrapText="1"/>
      <protection locked="0"/>
    </xf>
    <xf numFmtId="49" fontId="39" fillId="33" borderId="7" xfId="0" applyNumberFormat="1" applyFont="1" applyFill="1" applyBorder="1" applyAlignment="1">
      <alignment horizontal="center" vertical="center" wrapText="1"/>
    </xf>
    <xf numFmtId="164" fontId="110" fillId="33" borderId="7" xfId="30" applyNumberFormat="1" applyFont="1" applyFill="1" applyBorder="1" applyAlignment="1">
      <alignment horizontal="center" vertical="center" wrapText="1"/>
    </xf>
    <xf numFmtId="4" fontId="43" fillId="33" borderId="7" xfId="0" applyNumberFormat="1" applyFont="1" applyFill="1" applyBorder="1" applyAlignment="1">
      <alignment horizontal="center" vertical="center" wrapText="1"/>
    </xf>
    <xf numFmtId="4" fontId="116" fillId="0" borderId="0" xfId="0" applyNumberFormat="1" applyFont="1" applyAlignment="1">
      <alignment horizontal="center" vertical="center" wrapText="1"/>
    </xf>
    <xf numFmtId="0" fontId="0" fillId="0" borderId="0" xfId="0"/>
    <xf numFmtId="0" fontId="110" fillId="0" borderId="7" xfId="0" applyFont="1" applyFill="1" applyBorder="1" applyAlignment="1">
      <alignment horizontal="center" vertical="center" wrapText="1"/>
    </xf>
    <xf numFmtId="4" fontId="43" fillId="0" borderId="7" xfId="38" applyNumberFormat="1" applyFont="1" applyFill="1" applyBorder="1" applyAlignment="1" applyProtection="1">
      <alignment horizontal="center" vertical="center" wrapText="1"/>
      <protection locked="0"/>
    </xf>
    <xf numFmtId="164" fontId="110" fillId="0" borderId="7" xfId="30" applyNumberFormat="1" applyFont="1" applyFill="1" applyBorder="1" applyAlignment="1">
      <alignment horizontal="center" vertical="center" wrapText="1"/>
    </xf>
    <xf numFmtId="4" fontId="39" fillId="0" borderId="7" xfId="38" applyNumberFormat="1" applyFont="1" applyFill="1" applyBorder="1" applyAlignment="1" applyProtection="1">
      <alignment horizontal="center" vertical="center" wrapText="1"/>
      <protection locked="0"/>
    </xf>
    <xf numFmtId="0" fontId="39" fillId="0" borderId="7" xfId="0" applyFont="1" applyFill="1" applyBorder="1" applyAlignment="1">
      <alignment horizontal="center" vertical="center" wrapText="1"/>
    </xf>
    <xf numFmtId="0" fontId="111" fillId="0" borderId="7" xfId="0" applyFont="1" applyFill="1" applyBorder="1" applyAlignment="1">
      <alignment horizontal="center" vertical="center" wrapText="1"/>
    </xf>
    <xf numFmtId="0" fontId="113" fillId="0" borderId="7" xfId="0" applyFont="1" applyFill="1" applyBorder="1" applyAlignment="1">
      <alignment horizontal="center" vertical="center" wrapText="1"/>
    </xf>
    <xf numFmtId="49" fontId="39" fillId="34" borderId="7" xfId="0" applyNumberFormat="1" applyFont="1" applyFill="1" applyBorder="1" applyAlignment="1">
      <alignment horizontal="center" vertical="center" wrapText="1"/>
    </xf>
    <xf numFmtId="4" fontId="41" fillId="34" borderId="7" xfId="0" applyNumberFormat="1" applyFont="1" applyFill="1" applyBorder="1" applyAlignment="1">
      <alignment horizontal="center" vertical="center" wrapText="1"/>
    </xf>
    <xf numFmtId="4" fontId="43" fillId="34" borderId="7" xfId="0" applyNumberFormat="1" applyFont="1" applyFill="1" applyBorder="1" applyAlignment="1">
      <alignment horizontal="center" vertical="center"/>
    </xf>
    <xf numFmtId="4" fontId="43" fillId="34" borderId="7" xfId="0" applyNumberFormat="1" applyFont="1" applyFill="1" applyBorder="1" applyAlignment="1">
      <alignment horizontal="center" vertical="center" wrapText="1"/>
    </xf>
    <xf numFmtId="4" fontId="43" fillId="0" borderId="7" xfId="0" applyNumberFormat="1" applyFont="1" applyFill="1" applyBorder="1" applyAlignment="1">
      <alignment horizontal="center" vertical="center" wrapText="1"/>
    </xf>
    <xf numFmtId="0" fontId="0" fillId="0" borderId="0" xfId="0"/>
    <xf numFmtId="4" fontId="41" fillId="0" borderId="14" xfId="0" applyNumberFormat="1" applyFont="1" applyFill="1" applyBorder="1" applyAlignment="1">
      <alignment horizontal="center" vertical="center" wrapText="1"/>
    </xf>
    <xf numFmtId="4" fontId="41" fillId="0" borderId="7" xfId="38" applyNumberFormat="1" applyFont="1" applyFill="1" applyBorder="1" applyAlignment="1" applyProtection="1">
      <alignment horizontal="center" vertical="center" wrapText="1"/>
      <protection locked="0"/>
    </xf>
    <xf numFmtId="49" fontId="40" fillId="35" borderId="7" xfId="0" applyNumberFormat="1" applyFont="1" applyFill="1" applyBorder="1" applyAlignment="1">
      <alignment horizontal="center" vertical="center" wrapText="1"/>
    </xf>
    <xf numFmtId="0" fontId="40" fillId="35" borderId="7" xfId="38" applyFont="1" applyFill="1" applyBorder="1" applyAlignment="1" applyProtection="1">
      <alignment horizontal="center" vertical="center" wrapText="1"/>
      <protection locked="0"/>
    </xf>
    <xf numFmtId="4" fontId="44" fillId="35" borderId="7" xfId="0" applyNumberFormat="1" applyFont="1" applyFill="1" applyBorder="1" applyAlignment="1">
      <alignment horizontal="center" vertical="center"/>
    </xf>
    <xf numFmtId="49" fontId="38" fillId="35" borderId="7" xfId="0" applyNumberFormat="1" applyFont="1" applyFill="1" applyBorder="1" applyAlignment="1">
      <alignment horizontal="center" vertical="center" wrapText="1"/>
    </xf>
    <xf numFmtId="0" fontId="38" fillId="35" borderId="7" xfId="38" applyFont="1" applyFill="1" applyBorder="1" applyAlignment="1" applyProtection="1">
      <alignment horizontal="center" vertical="center" wrapText="1"/>
      <protection locked="0"/>
    </xf>
    <xf numFmtId="4" fontId="41" fillId="35" borderId="7" xfId="0" applyNumberFormat="1" applyFont="1" applyFill="1" applyBorder="1" applyAlignment="1">
      <alignment horizontal="center" vertical="center" wrapText="1"/>
    </xf>
    <xf numFmtId="4" fontId="43" fillId="0" borderId="7" xfId="38" applyNumberFormat="1" applyFont="1" applyFill="1" applyBorder="1" applyAlignment="1">
      <alignment horizontal="center" vertical="center" wrapText="1"/>
    </xf>
    <xf numFmtId="4" fontId="41" fillId="0" borderId="7" xfId="38" applyNumberFormat="1" applyFont="1" applyFill="1" applyBorder="1" applyAlignment="1">
      <alignment horizontal="center" vertical="center" wrapText="1"/>
    </xf>
    <xf numFmtId="4" fontId="43" fillId="0" borderId="7" xfId="0" applyNumberFormat="1" applyFont="1" applyFill="1" applyBorder="1" applyAlignment="1">
      <alignment horizontal="center" vertical="center"/>
    </xf>
    <xf numFmtId="0" fontId="39" fillId="0" borderId="8" xfId="38" applyFont="1" applyFill="1" applyBorder="1" applyAlignment="1" applyProtection="1">
      <alignment horizontal="center" vertical="center" wrapText="1"/>
      <protection locked="0"/>
    </xf>
    <xf numFmtId="0" fontId="39" fillId="0" borderId="9" xfId="38" applyFont="1" applyFill="1" applyBorder="1" applyAlignment="1" applyProtection="1">
      <alignment horizontal="center" vertical="center" wrapText="1"/>
      <protection locked="0"/>
    </xf>
    <xf numFmtId="0" fontId="39" fillId="0" borderId="7" xfId="38" applyFont="1" applyFill="1" applyBorder="1" applyAlignment="1" applyProtection="1">
      <alignment horizontal="center" vertical="center" wrapText="1"/>
      <protection locked="0"/>
    </xf>
    <xf numFmtId="0" fontId="39" fillId="0" borderId="8" xfId="0" applyFont="1" applyFill="1" applyBorder="1" applyAlignment="1">
      <alignment horizontal="center" vertical="center" wrapText="1"/>
    </xf>
    <xf numFmtId="49" fontId="39" fillId="0" borderId="15" xfId="0" applyNumberFormat="1" applyFont="1" applyFill="1" applyBorder="1" applyAlignment="1">
      <alignment horizontal="center" vertical="center" wrapText="1"/>
    </xf>
    <xf numFmtId="0" fontId="39" fillId="0" borderId="0" xfId="0" applyFont="1" applyFill="1" applyAlignment="1">
      <alignment horizontal="center" vertical="center" wrapText="1"/>
    </xf>
    <xf numFmtId="49" fontId="39" fillId="0" borderId="8" xfId="0" applyNumberFormat="1" applyFont="1" applyFill="1" applyBorder="1" applyAlignment="1">
      <alignment horizontal="center" wrapText="1"/>
    </xf>
    <xf numFmtId="49" fontId="39" fillId="0" borderId="0" xfId="0" applyNumberFormat="1" applyFont="1" applyFill="1" applyAlignment="1">
      <alignment horizontal="center" vertical="top" wrapText="1"/>
    </xf>
    <xf numFmtId="49" fontId="39" fillId="0" borderId="12" xfId="0" applyNumberFormat="1" applyFont="1" applyFill="1" applyBorder="1" applyAlignment="1">
      <alignment horizontal="center" vertical="center" wrapText="1"/>
    </xf>
    <xf numFmtId="49" fontId="39" fillId="0" borderId="0" xfId="0" applyNumberFormat="1" applyFont="1" applyFill="1" applyBorder="1" applyAlignment="1">
      <alignment horizontal="center" vertical="center" wrapText="1"/>
    </xf>
    <xf numFmtId="49" fontId="39" fillId="0" borderId="0" xfId="0" applyNumberFormat="1" applyFont="1" applyFill="1" applyBorder="1" applyAlignment="1">
      <alignment horizontal="center" vertical="top" wrapText="1"/>
    </xf>
    <xf numFmtId="49" fontId="39" fillId="0" borderId="8" xfId="0" applyNumberFormat="1" applyFont="1" applyFill="1" applyBorder="1" applyAlignment="1">
      <alignment horizontal="center" vertical="top" wrapText="1"/>
    </xf>
    <xf numFmtId="49" fontId="39" fillId="0" borderId="7" xfId="0" applyNumberFormat="1" applyFont="1" applyFill="1" applyBorder="1" applyAlignment="1">
      <alignment horizontal="center" vertical="center"/>
    </xf>
    <xf numFmtId="49" fontId="39" fillId="0" borderId="8" xfId="0" applyNumberFormat="1" applyFont="1" applyFill="1" applyBorder="1" applyAlignment="1">
      <alignment horizontal="center" vertical="center" wrapText="1"/>
    </xf>
    <xf numFmtId="49" fontId="39" fillId="0" borderId="7" xfId="0" applyNumberFormat="1" applyFont="1" applyFill="1" applyBorder="1" applyAlignment="1">
      <alignment horizontal="center" vertical="center" wrapText="1"/>
    </xf>
    <xf numFmtId="4" fontId="41" fillId="0" borderId="7" xfId="0" applyNumberFormat="1" applyFont="1" applyFill="1" applyBorder="1" applyAlignment="1">
      <alignment horizontal="center" vertical="center" wrapText="1"/>
    </xf>
    <xf numFmtId="0" fontId="5" fillId="0" borderId="0" xfId="39" applyFont="1"/>
    <xf numFmtId="0" fontId="0" fillId="0" borderId="0" xfId="0"/>
    <xf numFmtId="4" fontId="41" fillId="0" borderId="7" xfId="0" applyNumberFormat="1" applyFont="1" applyFill="1" applyBorder="1" applyAlignment="1">
      <alignment horizontal="center" vertical="center" wrapText="1"/>
    </xf>
    <xf numFmtId="4" fontId="43" fillId="0" borderId="8" xfId="0" applyNumberFormat="1" applyFont="1" applyFill="1" applyBorder="1" applyAlignment="1">
      <alignment horizontal="center" vertical="center" wrapText="1"/>
    </xf>
    <xf numFmtId="4" fontId="41" fillId="0" borderId="8" xfId="0" applyNumberFormat="1" applyFont="1" applyFill="1" applyBorder="1" applyAlignment="1">
      <alignment horizontal="center" vertical="center" wrapText="1"/>
    </xf>
    <xf numFmtId="49" fontId="39" fillId="0" borderId="8" xfId="0" applyNumberFormat="1" applyFont="1" applyFill="1" applyBorder="1" applyAlignment="1">
      <alignment horizontal="center" vertical="center" wrapText="1"/>
    </xf>
    <xf numFmtId="49" fontId="39" fillId="0" borderId="7" xfId="0" applyNumberFormat="1" applyFont="1" applyFill="1" applyBorder="1" applyAlignment="1">
      <alignment horizontal="center" vertical="center" wrapText="1"/>
    </xf>
    <xf numFmtId="4" fontId="41" fillId="27" borderId="0" xfId="0" applyNumberFormat="1" applyFont="1" applyFill="1" applyAlignment="1">
      <alignment horizontal="left" vertical="center" wrapText="1"/>
    </xf>
    <xf numFmtId="49" fontId="29" fillId="36" borderId="7" xfId="0" applyNumberFormat="1" applyFont="1" applyFill="1" applyBorder="1" applyAlignment="1">
      <alignment horizontal="center" vertical="center" wrapText="1"/>
    </xf>
    <xf numFmtId="164" fontId="32" fillId="36" borderId="7" xfId="30" applyNumberFormat="1" applyFont="1" applyFill="1" applyBorder="1" applyAlignment="1">
      <alignment horizontal="center" vertical="center"/>
    </xf>
    <xf numFmtId="164" fontId="32" fillId="36" borderId="7" xfId="30" applyNumberFormat="1" applyFont="1" applyFill="1" applyBorder="1" applyAlignment="1">
      <alignment horizontal="center" vertical="center" wrapText="1"/>
    </xf>
    <xf numFmtId="4" fontId="32" fillId="36" borderId="7" xfId="30" applyNumberFormat="1" applyFont="1" applyFill="1" applyBorder="1" applyAlignment="1">
      <alignment horizontal="center" vertical="center"/>
    </xf>
    <xf numFmtId="164" fontId="29" fillId="36" borderId="7" xfId="30" applyNumberFormat="1" applyFont="1" applyFill="1" applyBorder="1" applyAlignment="1">
      <alignment horizontal="center" vertical="center"/>
    </xf>
    <xf numFmtId="4" fontId="29" fillId="36" borderId="7" xfId="30" applyNumberFormat="1" applyFont="1" applyFill="1" applyBorder="1" applyAlignment="1">
      <alignment horizontal="center" vertical="center"/>
    </xf>
    <xf numFmtId="4" fontId="48" fillId="35" borderId="7" xfId="0" applyNumberFormat="1" applyFont="1" applyFill="1" applyBorder="1" applyAlignment="1">
      <alignment horizontal="center" vertical="center"/>
    </xf>
    <xf numFmtId="4" fontId="30" fillId="35" borderId="7" xfId="0" applyNumberFormat="1" applyFont="1" applyFill="1" applyBorder="1" applyAlignment="1">
      <alignment horizontal="center" vertical="center" wrapText="1"/>
    </xf>
    <xf numFmtId="4" fontId="48" fillId="35" borderId="7" xfId="0" applyNumberFormat="1" applyFont="1" applyFill="1" applyBorder="1" applyAlignment="1">
      <alignment horizontal="center" vertical="center" wrapText="1"/>
    </xf>
    <xf numFmtId="0" fontId="5" fillId="0" borderId="0" xfId="35" applyFill="1"/>
    <xf numFmtId="49" fontId="29" fillId="0" borderId="7" xfId="0" applyNumberFormat="1" applyFont="1" applyFill="1" applyBorder="1" applyAlignment="1">
      <alignment horizontal="center" vertical="center" wrapText="1"/>
    </xf>
    <xf numFmtId="164" fontId="32" fillId="0" borderId="7" xfId="30" applyNumberFormat="1" applyFont="1" applyFill="1" applyBorder="1" applyAlignment="1">
      <alignment horizontal="center" vertical="center"/>
    </xf>
    <xf numFmtId="0" fontId="30" fillId="0" borderId="7" xfId="35" applyFont="1" applyFill="1" applyBorder="1" applyAlignment="1">
      <alignment horizontal="center" vertical="center" wrapText="1"/>
    </xf>
    <xf numFmtId="4" fontId="29" fillId="0" borderId="7" xfId="0" applyNumberFormat="1" applyFont="1" applyFill="1" applyBorder="1" applyAlignment="1">
      <alignment horizontal="center" vertical="center" wrapText="1"/>
    </xf>
    <xf numFmtId="164" fontId="32" fillId="0" borderId="7" xfId="30" applyNumberFormat="1" applyFont="1" applyFill="1" applyBorder="1" applyAlignment="1">
      <alignment horizontal="center" vertical="center" wrapText="1"/>
    </xf>
    <xf numFmtId="4" fontId="43" fillId="0" borderId="8" xfId="0" applyNumberFormat="1" applyFont="1" applyFill="1" applyBorder="1" applyAlignment="1">
      <alignment horizontal="center" wrapText="1"/>
    </xf>
    <xf numFmtId="4" fontId="43" fillId="0" borderId="0" xfId="0" applyNumberFormat="1" applyFont="1" applyFill="1" applyAlignment="1">
      <alignment horizontal="center" vertical="top" wrapText="1"/>
    </xf>
    <xf numFmtId="4" fontId="39" fillId="0" borderId="7" xfId="0" applyNumberFormat="1" applyFont="1" applyFill="1" applyBorder="1" applyAlignment="1">
      <alignment horizontal="center" vertical="center" wrapText="1"/>
    </xf>
    <xf numFmtId="4" fontId="40" fillId="35" borderId="7" xfId="0" applyNumberFormat="1" applyFont="1" applyFill="1" applyBorder="1" applyAlignment="1">
      <alignment horizontal="center" vertical="center"/>
    </xf>
    <xf numFmtId="4" fontId="38" fillId="35" borderId="7" xfId="0" applyNumberFormat="1" applyFont="1" applyFill="1" applyBorder="1" applyAlignment="1">
      <alignment horizontal="center" vertical="center" wrapText="1"/>
    </xf>
    <xf numFmtId="4" fontId="40" fillId="35" borderId="7" xfId="0" applyNumberFormat="1" applyFont="1" applyFill="1" applyBorder="1" applyAlignment="1">
      <alignment horizontal="center" vertical="center" wrapText="1"/>
    </xf>
    <xf numFmtId="2" fontId="9" fillId="0" borderId="7" xfId="36" applyNumberFormat="1" applyFont="1" applyFill="1" applyBorder="1" applyAlignment="1">
      <alignment horizontal="center" vertical="center" wrapText="1"/>
    </xf>
    <xf numFmtId="4" fontId="9" fillId="0" borderId="7" xfId="36" applyNumberFormat="1" applyFont="1" applyFill="1" applyBorder="1" applyAlignment="1">
      <alignment horizontal="center" vertical="center"/>
    </xf>
    <xf numFmtId="49" fontId="39" fillId="0" borderId="7" xfId="0" applyNumberFormat="1" applyFont="1" applyFill="1" applyBorder="1" applyAlignment="1">
      <alignment horizontal="center" vertical="center" wrapText="1"/>
    </xf>
    <xf numFmtId="4" fontId="32" fillId="0" borderId="7" xfId="30" applyNumberFormat="1" applyFont="1" applyFill="1" applyBorder="1" applyAlignment="1">
      <alignment horizontal="center" vertical="center"/>
    </xf>
    <xf numFmtId="9" fontId="29" fillId="0" borderId="7" xfId="0" applyNumberFormat="1" applyFont="1" applyFill="1" applyBorder="1" applyAlignment="1">
      <alignment horizontal="center" vertical="center" wrapText="1"/>
    </xf>
    <xf numFmtId="49" fontId="29" fillId="0" borderId="8" xfId="0" applyNumberFormat="1" applyFont="1" applyFill="1" applyBorder="1" applyAlignment="1">
      <alignment horizontal="center" vertical="center" wrapText="1"/>
    </xf>
    <xf numFmtId="0" fontId="29" fillId="0" borderId="7" xfId="38" applyFont="1" applyFill="1" applyBorder="1" applyAlignment="1" applyProtection="1">
      <alignment horizontal="center" vertical="center" wrapText="1"/>
      <protection locked="0"/>
    </xf>
    <xf numFmtId="0" fontId="29" fillId="0" borderId="7" xfId="0" applyFont="1" applyFill="1" applyBorder="1" applyAlignment="1">
      <alignment horizontal="center" vertical="center" wrapText="1"/>
    </xf>
    <xf numFmtId="0" fontId="29" fillId="0" borderId="7" xfId="40" applyFont="1" applyFill="1" applyBorder="1" applyAlignment="1">
      <alignment horizontal="center" vertical="center" wrapText="1"/>
    </xf>
    <xf numFmtId="9" fontId="29" fillId="0" borderId="10" xfId="30" applyNumberFormat="1" applyFont="1" applyFill="1" applyBorder="1" applyAlignment="1">
      <alignment horizontal="center" vertical="center"/>
    </xf>
    <xf numFmtId="9" fontId="32" fillId="0" borderId="7" xfId="30" applyNumberFormat="1" applyFont="1" applyFill="1" applyBorder="1" applyAlignment="1">
      <alignment horizontal="center" vertical="center"/>
    </xf>
    <xf numFmtId="49" fontId="29" fillId="33" borderId="7" xfId="0" applyNumberFormat="1" applyFont="1" applyFill="1" applyBorder="1" applyAlignment="1">
      <alignment horizontal="center" vertical="center" wrapText="1"/>
    </xf>
    <xf numFmtId="164" fontId="32" fillId="33" borderId="7" xfId="30" applyNumberFormat="1" applyFont="1" applyFill="1" applyBorder="1" applyAlignment="1">
      <alignment horizontal="center" vertical="center"/>
    </xf>
    <xf numFmtId="4" fontId="32" fillId="33" borderId="7" xfId="30" applyNumberFormat="1" applyFont="1" applyFill="1" applyBorder="1" applyAlignment="1">
      <alignment horizontal="center" vertical="center"/>
    </xf>
    <xf numFmtId="164" fontId="32" fillId="33" borderId="7" xfId="30" applyNumberFormat="1" applyFont="1" applyFill="1" applyBorder="1" applyAlignment="1">
      <alignment horizontal="center" vertical="center" wrapText="1"/>
    </xf>
    <xf numFmtId="9" fontId="29" fillId="33" borderId="10" xfId="30" applyNumberFormat="1" applyFont="1" applyFill="1" applyBorder="1" applyAlignment="1">
      <alignment horizontal="center" vertical="center"/>
    </xf>
    <xf numFmtId="9" fontId="32" fillId="33" borderId="7" xfId="30" applyNumberFormat="1" applyFont="1" applyFill="1" applyBorder="1" applyAlignment="1">
      <alignment horizontal="center" vertical="center"/>
    </xf>
    <xf numFmtId="164" fontId="29" fillId="33" borderId="7" xfId="0" applyNumberFormat="1" applyFont="1" applyFill="1" applyBorder="1" applyAlignment="1">
      <alignment horizontal="center" vertical="center" wrapText="1"/>
    </xf>
    <xf numFmtId="49" fontId="48" fillId="35" borderId="7" xfId="0" applyNumberFormat="1" applyFont="1" applyFill="1" applyBorder="1" applyAlignment="1">
      <alignment horizontal="center" vertical="center"/>
    </xf>
    <xf numFmtId="49" fontId="30" fillId="35" borderId="7" xfId="0" applyNumberFormat="1" applyFont="1" applyFill="1" applyBorder="1" applyAlignment="1">
      <alignment horizontal="center" vertical="center" wrapText="1"/>
    </xf>
    <xf numFmtId="0" fontId="29" fillId="33" borderId="7" xfId="0" applyFont="1" applyFill="1" applyBorder="1" applyAlignment="1">
      <alignment horizontal="center" vertical="center" wrapText="1"/>
    </xf>
    <xf numFmtId="0" fontId="54" fillId="33" borderId="7" xfId="0" applyFont="1" applyFill="1" applyBorder="1" applyAlignment="1">
      <alignment horizontal="center" vertical="center" wrapText="1"/>
    </xf>
    <xf numFmtId="4" fontId="29" fillId="33" borderId="7" xfId="0" applyNumberFormat="1" applyFont="1" applyFill="1" applyBorder="1" applyAlignment="1">
      <alignment horizontal="center" vertical="center" wrapText="1"/>
    </xf>
    <xf numFmtId="49" fontId="29" fillId="33" borderId="0" xfId="0" applyNumberFormat="1" applyFont="1" applyFill="1" applyBorder="1" applyAlignment="1">
      <alignment horizontal="center" vertical="center" wrapText="1"/>
    </xf>
    <xf numFmtId="49" fontId="29" fillId="33" borderId="0" xfId="0" applyNumberFormat="1" applyFont="1" applyFill="1" applyBorder="1" applyAlignment="1">
      <alignment horizontal="center" vertical="top" wrapText="1"/>
    </xf>
    <xf numFmtId="49" fontId="29" fillId="33" borderId="8" xfId="0" applyNumberFormat="1" applyFont="1" applyFill="1" applyBorder="1" applyAlignment="1">
      <alignment horizontal="center" vertical="top" wrapText="1"/>
    </xf>
    <xf numFmtId="0" fontId="29" fillId="33" borderId="7" xfId="38" applyFont="1" applyFill="1" applyBorder="1" applyAlignment="1" applyProtection="1">
      <alignment horizontal="center" vertical="center" wrapText="1"/>
      <protection locked="0"/>
    </xf>
    <xf numFmtId="49" fontId="39" fillId="33" borderId="8" xfId="0" applyNumberFormat="1" applyFont="1" applyFill="1" applyBorder="1" applyAlignment="1">
      <alignment horizontal="center" vertical="center" wrapText="1"/>
    </xf>
    <xf numFmtId="0" fontId="39" fillId="33" borderId="8" xfId="0" applyFont="1" applyFill="1" applyBorder="1" applyAlignment="1">
      <alignment horizontal="center" vertical="center" wrapText="1"/>
    </xf>
    <xf numFmtId="4" fontId="39" fillId="33" borderId="7" xfId="0" applyNumberFormat="1" applyFont="1" applyFill="1" applyBorder="1" applyAlignment="1">
      <alignment horizontal="center" vertical="center" wrapText="1"/>
    </xf>
    <xf numFmtId="4" fontId="43" fillId="33" borderId="8" xfId="0" applyNumberFormat="1" applyFont="1" applyFill="1" applyBorder="1" applyAlignment="1">
      <alignment horizontal="center" vertical="center" wrapText="1"/>
    </xf>
    <xf numFmtId="4" fontId="42" fillId="33" borderId="8" xfId="0" applyNumberFormat="1" applyFont="1" applyFill="1" applyBorder="1" applyAlignment="1">
      <alignment horizontal="center" vertical="center" wrapText="1"/>
    </xf>
    <xf numFmtId="49" fontId="39" fillId="33" borderId="15" xfId="0" applyNumberFormat="1" applyFont="1" applyFill="1" applyBorder="1" applyAlignment="1">
      <alignment horizontal="center" vertical="center" wrapText="1"/>
    </xf>
    <xf numFmtId="0" fontId="39" fillId="33" borderId="7" xfId="0" applyFont="1" applyFill="1" applyBorder="1" applyAlignment="1">
      <alignment horizontal="center" vertical="center" wrapText="1"/>
    </xf>
    <xf numFmtId="0" fontId="39" fillId="33" borderId="0" xfId="0" applyFont="1" applyFill="1" applyAlignment="1">
      <alignment horizontal="center" vertical="center" wrapText="1"/>
    </xf>
    <xf numFmtId="4" fontId="42" fillId="33" borderId="7" xfId="0" applyNumberFormat="1" applyFont="1" applyFill="1" applyBorder="1" applyAlignment="1">
      <alignment horizontal="center" vertical="center" wrapText="1"/>
    </xf>
    <xf numFmtId="49" fontId="39" fillId="33" borderId="8" xfId="0" applyNumberFormat="1" applyFont="1" applyFill="1" applyBorder="1" applyAlignment="1">
      <alignment horizontal="center" wrapText="1"/>
    </xf>
    <xf numFmtId="49" fontId="39" fillId="33" borderId="0" xfId="0" applyNumberFormat="1" applyFont="1" applyFill="1" applyAlignment="1">
      <alignment horizontal="center" vertical="top" wrapText="1"/>
    </xf>
    <xf numFmtId="0" fontId="110" fillId="33" borderId="7" xfId="0" applyFont="1" applyFill="1" applyBorder="1" applyAlignment="1">
      <alignment horizontal="center" vertical="center" wrapText="1"/>
    </xf>
    <xf numFmtId="164" fontId="110" fillId="33" borderId="8" xfId="30" applyNumberFormat="1" applyFont="1" applyFill="1" applyBorder="1" applyAlignment="1">
      <alignment horizontal="center" vertical="center" wrapText="1"/>
    </xf>
    <xf numFmtId="49" fontId="39" fillId="33" borderId="12" xfId="0" applyNumberFormat="1" applyFont="1" applyFill="1" applyBorder="1" applyAlignment="1">
      <alignment horizontal="center" vertical="center" wrapText="1"/>
    </xf>
    <xf numFmtId="0" fontId="39" fillId="33" borderId="7" xfId="38" applyFont="1" applyFill="1" applyBorder="1" applyAlignment="1" applyProtection="1">
      <alignment horizontal="center" vertical="center" wrapText="1"/>
      <protection locked="0"/>
    </xf>
    <xf numFmtId="4" fontId="43" fillId="33" borderId="7" xfId="38" applyNumberFormat="1" applyFont="1" applyFill="1" applyBorder="1" applyAlignment="1" applyProtection="1">
      <alignment horizontal="center" vertical="center" wrapText="1"/>
      <protection locked="0"/>
    </xf>
    <xf numFmtId="49" fontId="40" fillId="35" borderId="7" xfId="0" applyNumberFormat="1" applyFont="1" applyFill="1" applyBorder="1" applyAlignment="1">
      <alignment horizontal="center" vertical="center"/>
    </xf>
    <xf numFmtId="0" fontId="102" fillId="0" borderId="0" xfId="35" applyFont="1" applyFill="1"/>
    <xf numFmtId="164" fontId="29" fillId="0" borderId="7" xfId="30" applyNumberFormat="1" applyFont="1" applyFill="1" applyBorder="1" applyAlignment="1">
      <alignment horizontal="center" vertical="center"/>
    </xf>
    <xf numFmtId="4" fontId="29" fillId="0" borderId="7" xfId="30" applyNumberFormat="1" applyFont="1" applyFill="1" applyBorder="1" applyAlignment="1">
      <alignment horizontal="center" vertical="center"/>
    </xf>
    <xf numFmtId="49" fontId="49" fillId="0" borderId="7" xfId="0" applyNumberFormat="1" applyFont="1" applyFill="1" applyBorder="1" applyAlignment="1">
      <alignment horizontal="center" vertical="center" wrapText="1"/>
    </xf>
    <xf numFmtId="0" fontId="49" fillId="0" borderId="7" xfId="0" applyFont="1" applyFill="1" applyBorder="1" applyAlignment="1">
      <alignment horizontal="center" vertical="center" wrapText="1"/>
    </xf>
    <xf numFmtId="164" fontId="52" fillId="0" borderId="7" xfId="30" applyNumberFormat="1" applyFont="1" applyFill="1" applyBorder="1" applyAlignment="1">
      <alignment horizontal="center" vertical="center"/>
    </xf>
    <xf numFmtId="4" fontId="49" fillId="0" borderId="7" xfId="30" applyNumberFormat="1" applyFont="1" applyFill="1" applyBorder="1" applyAlignment="1">
      <alignment horizontal="center" vertical="center"/>
    </xf>
    <xf numFmtId="0" fontId="29" fillId="0" borderId="7" xfId="86" applyFont="1" applyFill="1" applyBorder="1" applyAlignment="1">
      <alignment horizontal="center" vertical="center" wrapText="1"/>
    </xf>
    <xf numFmtId="9" fontId="49" fillId="0" borderId="7" xfId="30" applyNumberFormat="1" applyFont="1" applyFill="1" applyBorder="1" applyAlignment="1">
      <alignment horizontal="center" vertical="center"/>
    </xf>
    <xf numFmtId="9" fontId="29" fillId="0" borderId="7" xfId="30" applyNumberFormat="1" applyFont="1" applyFill="1" applyBorder="1" applyAlignment="1">
      <alignment horizontal="center" vertical="center"/>
    </xf>
    <xf numFmtId="0" fontId="49" fillId="0" borderId="7" xfId="45" applyFont="1" applyFill="1" applyBorder="1" applyAlignment="1">
      <alignment horizontal="center" vertical="center" wrapText="1"/>
    </xf>
    <xf numFmtId="0" fontId="49" fillId="0" borderId="7" xfId="86" applyFont="1" applyFill="1" applyBorder="1" applyAlignment="1">
      <alignment horizontal="center" vertical="center" wrapText="1"/>
    </xf>
    <xf numFmtId="0" fontId="124" fillId="0" borderId="7" xfId="86" applyFont="1" applyFill="1" applyBorder="1" applyAlignment="1">
      <alignment horizontal="center" vertical="center" wrapText="1"/>
    </xf>
    <xf numFmtId="164" fontId="52" fillId="0" borderId="8" xfId="30" applyNumberFormat="1" applyFont="1" applyFill="1" applyBorder="1" applyAlignment="1">
      <alignment horizontal="center" vertical="center"/>
    </xf>
    <xf numFmtId="4" fontId="49" fillId="0" borderId="8" xfId="30" applyNumberFormat="1" applyFont="1" applyFill="1" applyBorder="1" applyAlignment="1">
      <alignment horizontal="center" vertical="center"/>
    </xf>
    <xf numFmtId="4" fontId="30" fillId="0" borderId="7" xfId="0" applyNumberFormat="1" applyFont="1" applyFill="1" applyBorder="1" applyAlignment="1">
      <alignment horizontal="center" vertical="center" wrapText="1"/>
    </xf>
    <xf numFmtId="0" fontId="5" fillId="0" borderId="0" xfId="35" applyBorder="1"/>
    <xf numFmtId="49" fontId="29" fillId="0" borderId="7" xfId="0" applyNumberFormat="1" applyFont="1" applyBorder="1" applyAlignment="1">
      <alignment horizontal="center" vertical="center" wrapText="1"/>
    </xf>
    <xf numFmtId="0" fontId="29" fillId="0" borderId="7" xfId="0" applyFont="1" applyBorder="1" applyAlignment="1">
      <alignment horizontal="center" vertical="center" wrapText="1"/>
    </xf>
    <xf numFmtId="4" fontId="29" fillId="0" borderId="7" xfId="30" applyNumberFormat="1" applyFont="1" applyBorder="1" applyAlignment="1">
      <alignment horizontal="center" vertical="center"/>
    </xf>
    <xf numFmtId="9" fontId="29" fillId="0" borderId="7" xfId="30" applyNumberFormat="1" applyFont="1" applyBorder="1" applyAlignment="1">
      <alignment horizontal="center" vertical="center"/>
    </xf>
    <xf numFmtId="0" fontId="29" fillId="0" borderId="7" xfId="93" applyFont="1" applyBorder="1" applyAlignment="1">
      <alignment horizontal="center" vertical="center" wrapText="1"/>
    </xf>
    <xf numFmtId="4" fontId="32" fillId="0" borderId="7" xfId="30" applyNumberFormat="1" applyFont="1" applyBorder="1" applyAlignment="1">
      <alignment horizontal="center" vertical="center"/>
    </xf>
    <xf numFmtId="49" fontId="29" fillId="0" borderId="10" xfId="0" applyNumberFormat="1" applyFont="1" applyBorder="1" applyAlignment="1">
      <alignment horizontal="center" vertical="center" wrapText="1"/>
    </xf>
    <xf numFmtId="0" fontId="29" fillId="0" borderId="10" xfId="93" applyFont="1" applyBorder="1" applyAlignment="1">
      <alignment horizontal="center" vertical="center" wrapText="1"/>
    </xf>
    <xf numFmtId="4" fontId="32" fillId="0" borderId="10" xfId="30" applyNumberFormat="1" applyFont="1" applyBorder="1" applyAlignment="1">
      <alignment horizontal="center" vertical="center"/>
    </xf>
    <xf numFmtId="9" fontId="32" fillId="0" borderId="10" xfId="30" applyNumberFormat="1" applyFont="1" applyBorder="1" applyAlignment="1">
      <alignment horizontal="center" vertical="center"/>
    </xf>
    <xf numFmtId="4" fontId="29" fillId="0" borderId="10" xfId="30" applyNumberFormat="1" applyFont="1" applyBorder="1" applyAlignment="1">
      <alignment horizontal="center" vertical="center"/>
    </xf>
    <xf numFmtId="9" fontId="29" fillId="0" borderId="10" xfId="30" applyNumberFormat="1" applyFont="1" applyBorder="1" applyAlignment="1">
      <alignment horizontal="center" vertical="center"/>
    </xf>
    <xf numFmtId="0" fontId="29" fillId="0" borderId="7" xfId="92" applyFont="1" applyBorder="1" applyAlignment="1">
      <alignment horizontal="center" vertical="center" wrapText="1"/>
    </xf>
    <xf numFmtId="0" fontId="32" fillId="0" borderId="7" xfId="0" applyFont="1" applyBorder="1" applyAlignment="1">
      <alignment horizontal="center" vertical="center" wrapText="1"/>
    </xf>
    <xf numFmtId="0" fontId="29" fillId="0" borderId="8" xfId="84" applyFont="1" applyBorder="1" applyAlignment="1">
      <alignment horizontal="center" vertical="center" wrapText="1"/>
    </xf>
    <xf numFmtId="164" fontId="52" fillId="0" borderId="7" xfId="30" applyNumberFormat="1" applyFont="1" applyBorder="1" applyAlignment="1">
      <alignment horizontal="center" vertical="center"/>
    </xf>
    <xf numFmtId="0" fontId="29" fillId="0" borderId="7" xfId="84" applyFont="1" applyBorder="1" applyAlignment="1">
      <alignment horizontal="center" vertical="center" wrapText="1"/>
    </xf>
    <xf numFmtId="164" fontId="32" fillId="0" borderId="7" xfId="30" applyNumberFormat="1" applyFont="1" applyBorder="1" applyAlignment="1">
      <alignment horizontal="center" vertical="center"/>
    </xf>
    <xf numFmtId="0" fontId="29" fillId="0" borderId="7" xfId="40" applyFont="1" applyBorder="1" applyAlignment="1">
      <alignment horizontal="center" vertical="center" wrapText="1"/>
    </xf>
    <xf numFmtId="0" fontId="29" fillId="0" borderId="7" xfId="93" applyFont="1" applyFill="1" applyBorder="1" applyAlignment="1">
      <alignment horizontal="center" vertical="center" wrapText="1"/>
    </xf>
    <xf numFmtId="0" fontId="5" fillId="0" borderId="7" xfId="35" applyFill="1" applyBorder="1"/>
    <xf numFmtId="0" fontId="0" fillId="0" borderId="0" xfId="0"/>
    <xf numFmtId="4" fontId="43" fillId="0" borderId="8" xfId="0" applyNumberFormat="1" applyFont="1" applyFill="1" applyBorder="1" applyAlignment="1">
      <alignment horizontal="center" vertical="center" wrapText="1"/>
    </xf>
    <xf numFmtId="4" fontId="41" fillId="27" borderId="0" xfId="0" applyNumberFormat="1" applyFont="1" applyFill="1" applyAlignment="1">
      <alignment horizontal="left" vertical="center" wrapText="1"/>
    </xf>
    <xf numFmtId="4" fontId="41" fillId="0" borderId="7" xfId="0" applyNumberFormat="1" applyFont="1" applyFill="1" applyBorder="1" applyAlignment="1">
      <alignment horizontal="center" vertical="center" wrapText="1"/>
    </xf>
    <xf numFmtId="49" fontId="39" fillId="0" borderId="7" xfId="0" applyNumberFormat="1" applyFont="1" applyFill="1" applyBorder="1" applyAlignment="1">
      <alignment horizontal="center" vertical="center" wrapText="1"/>
    </xf>
    <xf numFmtId="49" fontId="39" fillId="0" borderId="7" xfId="0" applyNumberFormat="1" applyFont="1" applyFill="1" applyBorder="1" applyAlignment="1">
      <alignment horizontal="center" vertical="center" wrapText="1"/>
    </xf>
    <xf numFmtId="4" fontId="41" fillId="0" borderId="7" xfId="0" applyNumberFormat="1" applyFont="1" applyFill="1" applyBorder="1" applyAlignment="1">
      <alignment horizontal="center" vertical="center" wrapText="1"/>
    </xf>
    <xf numFmtId="49" fontId="39" fillId="0" borderId="7" xfId="35" applyNumberFormat="1" applyFont="1" applyFill="1" applyBorder="1" applyAlignment="1">
      <alignment horizontal="center" vertical="center" wrapText="1"/>
    </xf>
    <xf numFmtId="0" fontId="39" fillId="0" borderId="7" xfId="35" applyFont="1" applyFill="1" applyBorder="1" applyAlignment="1">
      <alignment horizontal="center" vertical="center" wrapText="1"/>
    </xf>
    <xf numFmtId="4" fontId="42" fillId="0" borderId="7" xfId="0" applyNumberFormat="1" applyFont="1" applyFill="1" applyBorder="1" applyAlignment="1">
      <alignment horizontal="center" vertical="center" wrapText="1"/>
    </xf>
    <xf numFmtId="4" fontId="43" fillId="0" borderId="8" xfId="38" applyNumberFormat="1" applyFont="1" applyFill="1" applyBorder="1" applyAlignment="1" applyProtection="1">
      <alignment horizontal="center" vertical="center" wrapText="1"/>
      <protection locked="0"/>
    </xf>
    <xf numFmtId="4" fontId="43" fillId="0" borderId="8" xfId="38" applyNumberFormat="1" applyFont="1" applyFill="1" applyBorder="1" applyAlignment="1">
      <alignment horizontal="center" vertical="center" wrapText="1"/>
    </xf>
    <xf numFmtId="4" fontId="76" fillId="0" borderId="7" xfId="36" applyNumberFormat="1" applyFont="1" applyFill="1" applyBorder="1" applyAlignment="1">
      <alignment horizontal="center" vertical="center" wrapText="1"/>
    </xf>
    <xf numFmtId="4" fontId="32" fillId="33" borderId="10" xfId="30" applyNumberFormat="1" applyFont="1" applyFill="1" applyBorder="1" applyAlignment="1">
      <alignment horizontal="center" vertical="center"/>
    </xf>
    <xf numFmtId="4" fontId="41" fillId="0" borderId="8" xfId="0" applyNumberFormat="1" applyFont="1" applyFill="1" applyBorder="1" applyAlignment="1">
      <alignment horizontal="center" vertical="center" wrapText="1"/>
    </xf>
    <xf numFmtId="4" fontId="41" fillId="0" borderId="7" xfId="0" applyNumberFormat="1" applyFont="1" applyFill="1" applyBorder="1" applyAlignment="1">
      <alignment horizontal="center" vertical="center" wrapText="1"/>
    </xf>
    <xf numFmtId="4" fontId="41" fillId="0" borderId="7" xfId="0" applyNumberFormat="1" applyFont="1" applyFill="1" applyBorder="1" applyAlignment="1">
      <alignment horizontal="center" vertical="center" wrapText="1"/>
    </xf>
    <xf numFmtId="0" fontId="0" fillId="0" borderId="0" xfId="0"/>
    <xf numFmtId="49" fontId="39" fillId="0" borderId="7" xfId="0" applyNumberFormat="1" applyFont="1" applyFill="1" applyBorder="1" applyAlignment="1">
      <alignment horizontal="center" vertical="center" wrapText="1"/>
    </xf>
    <xf numFmtId="4" fontId="43" fillId="33" borderId="8" xfId="0" applyNumberFormat="1" applyFont="1" applyFill="1" applyBorder="1" applyAlignment="1">
      <alignment horizontal="center" vertical="center" wrapText="1"/>
    </xf>
    <xf numFmtId="0" fontId="10" fillId="0" borderId="7" xfId="39" applyFont="1" applyBorder="1" applyAlignment="1">
      <alignment horizontal="center" vertical="center" wrapText="1"/>
    </xf>
    <xf numFmtId="0" fontId="9" fillId="0" borderId="0" xfId="0" applyFont="1" applyAlignment="1">
      <alignment horizontal="center" vertical="center"/>
    </xf>
    <xf numFmtId="0" fontId="0" fillId="0" borderId="0" xfId="0"/>
    <xf numFmtId="0" fontId="0" fillId="0" borderId="0" xfId="0" applyAlignment="1">
      <alignment horizontal="center" vertical="center"/>
    </xf>
    <xf numFmtId="0" fontId="59" fillId="0" borderId="0" xfId="39" applyFont="1" applyAlignment="1">
      <alignment horizontal="center" vertical="center"/>
    </xf>
    <xf numFmtId="0" fontId="13" fillId="0" borderId="17" xfId="0" applyFont="1" applyBorder="1" applyAlignment="1">
      <alignment horizontal="left" vertical="center" wrapText="1"/>
    </xf>
    <xf numFmtId="0" fontId="13" fillId="0" borderId="14" xfId="0" applyFont="1" applyBorder="1" applyAlignment="1">
      <alignment horizontal="left" vertical="center" wrapText="1"/>
    </xf>
    <xf numFmtId="0" fontId="8" fillId="0" borderId="14" xfId="0" applyFont="1" applyBorder="1" applyAlignment="1">
      <alignment horizontal="left" vertical="center" wrapText="1"/>
    </xf>
    <xf numFmtId="0" fontId="5" fillId="0" borderId="0" xfId="0" applyFont="1" applyAlignment="1">
      <alignment horizontal="left" vertical="center" wrapText="1"/>
    </xf>
    <xf numFmtId="0" fontId="5" fillId="0" borderId="0" xfId="0" applyFont="1" applyAlignment="1">
      <alignment wrapText="1"/>
    </xf>
    <xf numFmtId="0" fontId="69" fillId="0" borderId="0" xfId="0" applyFont="1" applyAlignment="1">
      <alignment horizontal="center"/>
    </xf>
    <xf numFmtId="0" fontId="61" fillId="0" borderId="7" xfId="0" applyFont="1" applyBorder="1" applyAlignment="1">
      <alignment horizontal="center" vertical="center" wrapText="1"/>
    </xf>
    <xf numFmtId="0" fontId="61" fillId="0" borderId="8" xfId="0" applyFont="1" applyBorder="1" applyAlignment="1">
      <alignment horizontal="center" vertical="center" wrapText="1"/>
    </xf>
    <xf numFmtId="0" fontId="0" fillId="0" borderId="10" xfId="0" applyBorder="1" applyAlignment="1">
      <alignment horizontal="center" vertical="center" wrapText="1"/>
    </xf>
    <xf numFmtId="4" fontId="43" fillId="0" borderId="8" xfId="0" applyNumberFormat="1" applyFont="1" applyFill="1" applyBorder="1" applyAlignment="1">
      <alignment horizontal="center" vertical="center"/>
    </xf>
    <xf numFmtId="4" fontId="43" fillId="0" borderId="10" xfId="0" applyNumberFormat="1" applyFont="1" applyFill="1" applyBorder="1" applyAlignment="1">
      <alignment horizontal="center" vertical="center"/>
    </xf>
    <xf numFmtId="4" fontId="39" fillId="0" borderId="8" xfId="0" applyNumberFormat="1" applyFont="1" applyFill="1" applyBorder="1" applyAlignment="1">
      <alignment horizontal="center" vertical="center" wrapText="1"/>
    </xf>
    <xf numFmtId="4" fontId="0" fillId="0" borderId="10" xfId="0" applyNumberFormat="1" applyFill="1" applyBorder="1" applyAlignment="1">
      <alignment horizontal="center" vertical="center" wrapText="1"/>
    </xf>
    <xf numFmtId="0" fontId="39" fillId="0" borderId="0" xfId="0" applyFont="1"/>
    <xf numFmtId="0" fontId="94" fillId="0" borderId="12" xfId="0" applyFont="1" applyBorder="1" applyAlignment="1">
      <alignment horizontal="left" vertical="center"/>
    </xf>
    <xf numFmtId="0" fontId="96" fillId="0" borderId="12" xfId="0" applyFont="1" applyBorder="1" applyAlignment="1">
      <alignment horizontal="left" vertical="center"/>
    </xf>
    <xf numFmtId="4" fontId="38" fillId="0" borderId="8" xfId="0" applyNumberFormat="1" applyFont="1" applyFill="1" applyBorder="1" applyAlignment="1">
      <alignment horizontal="center" vertical="center" wrapText="1"/>
    </xf>
    <xf numFmtId="4" fontId="8" fillId="0" borderId="10" xfId="0" applyNumberFormat="1" applyFont="1" applyFill="1" applyBorder="1" applyAlignment="1">
      <alignment horizontal="center" vertical="center" wrapText="1"/>
    </xf>
    <xf numFmtId="0" fontId="0" fillId="0" borderId="10" xfId="0" applyFill="1" applyBorder="1" applyAlignment="1">
      <alignment horizontal="center" vertical="center"/>
    </xf>
    <xf numFmtId="4" fontId="38" fillId="0" borderId="10" xfId="0" applyNumberFormat="1" applyFont="1" applyFill="1" applyBorder="1" applyAlignment="1">
      <alignment horizontal="center" vertical="center" wrapText="1"/>
    </xf>
    <xf numFmtId="49" fontId="39" fillId="0" borderId="8" xfId="0" applyNumberFormat="1" applyFont="1" applyFill="1" applyBorder="1" applyAlignment="1">
      <alignment horizontal="center" vertical="center" wrapText="1"/>
    </xf>
    <xf numFmtId="49" fontId="39" fillId="0" borderId="10" xfId="0" applyNumberFormat="1" applyFont="1" applyFill="1" applyBorder="1" applyAlignment="1">
      <alignment horizontal="center" vertical="center" wrapText="1"/>
    </xf>
    <xf numFmtId="4" fontId="39" fillId="0" borderId="10" xfId="0" applyNumberFormat="1" applyFont="1" applyFill="1" applyBorder="1" applyAlignment="1">
      <alignment horizontal="center" vertical="center" wrapText="1"/>
    </xf>
    <xf numFmtId="0" fontId="0" fillId="0" borderId="10" xfId="0" applyFill="1" applyBorder="1" applyAlignment="1">
      <alignment horizontal="center" vertical="center" wrapText="1"/>
    </xf>
    <xf numFmtId="4" fontId="41" fillId="0" borderId="8" xfId="0" applyNumberFormat="1" applyFont="1" applyFill="1" applyBorder="1" applyAlignment="1">
      <alignment horizontal="center" vertical="center" wrapText="1"/>
    </xf>
    <xf numFmtId="0" fontId="0" fillId="0" borderId="9" xfId="0" applyFill="1" applyBorder="1" applyAlignment="1">
      <alignment horizontal="center" vertical="center" wrapText="1"/>
    </xf>
    <xf numFmtId="4" fontId="43" fillId="0" borderId="8" xfId="0" applyNumberFormat="1" applyFont="1" applyFill="1" applyBorder="1" applyAlignment="1">
      <alignment horizontal="center" vertical="center" wrapText="1"/>
    </xf>
    <xf numFmtId="4" fontId="41" fillId="0" borderId="7" xfId="0" applyNumberFormat="1" applyFont="1" applyFill="1" applyBorder="1" applyAlignment="1">
      <alignment horizontal="center" vertical="center" wrapText="1"/>
    </xf>
    <xf numFmtId="0" fontId="8" fillId="0" borderId="7" xfId="0" applyFont="1" applyFill="1" applyBorder="1" applyAlignment="1">
      <alignment horizontal="center" vertical="center" wrapText="1"/>
    </xf>
    <xf numFmtId="0" fontId="0" fillId="0" borderId="7" xfId="0" applyFill="1" applyBorder="1" applyAlignment="1">
      <alignment horizontal="center" vertical="center" wrapText="1"/>
    </xf>
    <xf numFmtId="49" fontId="39" fillId="0" borderId="7" xfId="0" applyNumberFormat="1" applyFont="1" applyFill="1" applyBorder="1" applyAlignment="1">
      <alignment horizontal="center" vertical="center" wrapText="1"/>
    </xf>
    <xf numFmtId="4" fontId="41" fillId="27" borderId="0" xfId="0" applyNumberFormat="1" applyFont="1" applyFill="1" applyAlignment="1">
      <alignment horizontal="left" vertical="center" wrapText="1"/>
    </xf>
    <xf numFmtId="0" fontId="0" fillId="0" borderId="0" xfId="0" applyAlignment="1">
      <alignment horizontal="left" vertical="center" wrapText="1"/>
    </xf>
    <xf numFmtId="0" fontId="0" fillId="0" borderId="9" xfId="0" applyFill="1" applyBorder="1" applyAlignment="1">
      <alignment horizontal="center" vertical="center"/>
    </xf>
    <xf numFmtId="0" fontId="8" fillId="0" borderId="10" xfId="0" applyFont="1" applyFill="1" applyBorder="1" applyAlignment="1">
      <alignment horizontal="center" vertical="center" wrapText="1"/>
    </xf>
    <xf numFmtId="4" fontId="41" fillId="0" borderId="10" xfId="0" applyNumberFormat="1" applyFont="1" applyFill="1" applyBorder="1" applyAlignment="1">
      <alignment horizontal="center" vertical="center" wrapText="1"/>
    </xf>
    <xf numFmtId="0" fontId="8" fillId="0" borderId="9" xfId="0" applyFont="1" applyFill="1" applyBorder="1" applyAlignment="1">
      <alignment horizontal="center" vertical="center" wrapText="1"/>
    </xf>
    <xf numFmtId="0" fontId="39" fillId="0" borderId="0" xfId="0" applyFont="1" applyAlignment="1">
      <alignment horizontal="center" vertical="center"/>
    </xf>
    <xf numFmtId="0" fontId="0" fillId="0" borderId="0" xfId="0" applyAlignment="1">
      <alignment vertical="center"/>
    </xf>
    <xf numFmtId="0" fontId="39" fillId="0" borderId="0" xfId="0" applyFont="1" applyAlignment="1">
      <alignment vertical="center"/>
    </xf>
    <xf numFmtId="0" fontId="38" fillId="0" borderId="7" xfId="0" applyFont="1" applyBorder="1" applyAlignment="1">
      <alignment horizontal="center" vertical="center"/>
    </xf>
    <xf numFmtId="0" fontId="38" fillId="0" borderId="0" xfId="0" applyFont="1" applyAlignment="1">
      <alignment horizontal="center" vertical="center"/>
    </xf>
    <xf numFmtId="0" fontId="38" fillId="0" borderId="7"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9" xfId="0" applyFont="1" applyBorder="1" applyAlignment="1">
      <alignment horizontal="center" vertical="center"/>
    </xf>
    <xf numFmtId="0" fontId="8" fillId="0" borderId="10" xfId="0" applyFont="1" applyBorder="1" applyAlignment="1">
      <alignment horizontal="center" vertical="center"/>
    </xf>
    <xf numFmtId="0" fontId="8" fillId="0" borderId="9" xfId="0" applyFont="1" applyBorder="1" applyAlignment="1">
      <alignment horizontal="center" vertical="center"/>
    </xf>
    <xf numFmtId="0" fontId="38" fillId="0" borderId="17" xfId="0" applyFont="1" applyBorder="1" applyAlignment="1">
      <alignment horizontal="center" vertical="center"/>
    </xf>
    <xf numFmtId="0" fontId="38" fillId="0" borderId="18" xfId="0" applyFont="1" applyBorder="1" applyAlignment="1">
      <alignment horizontal="center" vertical="center"/>
    </xf>
    <xf numFmtId="0" fontId="0" fillId="0" borderId="14" xfId="0" applyBorder="1" applyAlignment="1">
      <alignment horizontal="center" vertical="center"/>
    </xf>
    <xf numFmtId="0" fontId="71" fillId="0" borderId="0" xfId="35" applyFont="1"/>
    <xf numFmtId="0" fontId="13" fillId="0" borderId="7" xfId="35" applyFont="1" applyBorder="1" applyAlignment="1">
      <alignment horizontal="center" vertical="center" wrapText="1"/>
    </xf>
    <xf numFmtId="0" fontId="13" fillId="0" borderId="7" xfId="0" applyFont="1" applyBorder="1" applyAlignment="1">
      <alignment horizontal="center" vertical="center" wrapText="1"/>
    </xf>
    <xf numFmtId="0" fontId="8" fillId="0" borderId="7" xfId="0" applyFont="1" applyBorder="1" applyAlignment="1">
      <alignment horizontal="center" vertical="center"/>
    </xf>
    <xf numFmtId="0" fontId="13" fillId="0" borderId="7" xfId="0" applyFont="1" applyBorder="1" applyAlignment="1">
      <alignment horizontal="center" vertical="center"/>
    </xf>
    <xf numFmtId="0" fontId="10" fillId="0" borderId="7" xfId="35" applyFont="1" applyBorder="1" applyAlignment="1">
      <alignment horizontal="center" vertical="center" wrapText="1"/>
    </xf>
    <xf numFmtId="0" fontId="107" fillId="0" borderId="7" xfId="35" applyFont="1" applyBorder="1" applyAlignment="1">
      <alignment horizontal="center" vertical="center" wrapText="1"/>
    </xf>
    <xf numFmtId="0" fontId="8" fillId="0" borderId="7" xfId="0" applyFont="1" applyBorder="1" applyAlignment="1">
      <alignment horizontal="center" vertical="center" wrapText="1"/>
    </xf>
    <xf numFmtId="0" fontId="29" fillId="0" borderId="0" xfId="0" applyFont="1"/>
    <xf numFmtId="0" fontId="29" fillId="0" borderId="0" xfId="35" applyFont="1" applyAlignment="1">
      <alignment horizontal="center" vertical="center" wrapText="1"/>
    </xf>
    <xf numFmtId="0" fontId="11" fillId="0" borderId="0" xfId="35" applyFont="1" applyAlignment="1">
      <alignment horizontal="center" vertical="center" wrapText="1"/>
    </xf>
    <xf numFmtId="0" fontId="12" fillId="0" borderId="0" xfId="0" applyFont="1" applyAlignment="1">
      <alignment horizontal="center" vertical="center"/>
    </xf>
    <xf numFmtId="0" fontId="99" fillId="0" borderId="12" xfId="0" applyFont="1" applyBorder="1" applyAlignment="1">
      <alignment horizontal="left" vertical="center"/>
    </xf>
    <xf numFmtId="0" fontId="0" fillId="0" borderId="12" xfId="0" applyBorder="1" applyAlignment="1">
      <alignment horizontal="left" vertical="center"/>
    </xf>
    <xf numFmtId="0" fontId="9" fillId="0" borderId="0" xfId="35" applyFont="1" applyAlignment="1">
      <alignment horizontal="center" vertical="center"/>
    </xf>
    <xf numFmtId="0" fontId="46" fillId="0" borderId="0" xfId="35" applyFont="1" applyAlignment="1">
      <alignment horizontal="center" vertical="center" wrapText="1"/>
    </xf>
    <xf numFmtId="49" fontId="29" fillId="33" borderId="8" xfId="0" applyNumberFormat="1" applyFont="1" applyFill="1" applyBorder="1" applyAlignment="1">
      <alignment horizontal="center" vertical="center" wrapText="1"/>
    </xf>
    <xf numFmtId="0" fontId="54" fillId="33" borderId="9" xfId="0" applyFont="1" applyFill="1" applyBorder="1" applyAlignment="1">
      <alignment horizontal="center" vertical="center" wrapText="1"/>
    </xf>
    <xf numFmtId="0" fontId="54" fillId="33" borderId="10" xfId="0" applyFont="1" applyFill="1" applyBorder="1" applyAlignment="1">
      <alignment horizontal="center" vertical="center" wrapText="1"/>
    </xf>
    <xf numFmtId="164" fontId="32" fillId="33" borderId="8" xfId="30" applyNumberFormat="1" applyFont="1" applyFill="1" applyBorder="1" applyAlignment="1">
      <alignment horizontal="center" vertical="center"/>
    </xf>
    <xf numFmtId="0" fontId="0" fillId="33" borderId="9" xfId="0" applyFill="1" applyBorder="1" applyAlignment="1">
      <alignment horizontal="center" vertical="center"/>
    </xf>
    <xf numFmtId="0" fontId="0" fillId="33" borderId="10" xfId="0" applyFill="1" applyBorder="1" applyAlignment="1">
      <alignment horizontal="center" vertical="center"/>
    </xf>
    <xf numFmtId="4" fontId="32" fillId="33" borderId="8" xfId="30" applyNumberFormat="1" applyFont="1" applyFill="1" applyBorder="1" applyAlignment="1">
      <alignment horizontal="center" vertical="center"/>
    </xf>
    <xf numFmtId="0" fontId="68" fillId="0" borderId="0" xfId="36">
      <alignment vertical="top"/>
    </xf>
    <xf numFmtId="0" fontId="9" fillId="0" borderId="0" xfId="36" applyFont="1" applyAlignment="1">
      <alignment horizontal="center" vertical="center" wrapText="1"/>
    </xf>
    <xf numFmtId="0" fontId="74" fillId="0" borderId="0" xfId="0" applyFont="1" applyAlignment="1">
      <alignment horizontal="center" vertical="center"/>
    </xf>
    <xf numFmtId="2" fontId="10" fillId="29" borderId="7" xfId="36" applyNumberFormat="1" applyFont="1" applyFill="1" applyBorder="1" applyAlignment="1">
      <alignment horizontal="center" vertical="center"/>
    </xf>
    <xf numFmtId="0" fontId="0" fillId="0" borderId="7" xfId="0" applyBorder="1" applyAlignment="1">
      <alignment horizontal="center"/>
    </xf>
    <xf numFmtId="2" fontId="75" fillId="0" borderId="7" xfId="36" applyNumberFormat="1" applyFont="1" applyFill="1" applyBorder="1" applyAlignment="1">
      <alignment horizontal="center" vertical="center" wrapText="1"/>
    </xf>
    <xf numFmtId="0" fontId="0" fillId="0" borderId="7" xfId="0" applyFill="1" applyBorder="1" applyAlignment="1">
      <alignment horizontal="center"/>
    </xf>
    <xf numFmtId="2" fontId="75" fillId="0" borderId="7" xfId="38" applyNumberFormat="1" applyFont="1" applyFill="1" applyBorder="1" applyAlignment="1" applyProtection="1">
      <alignment horizontal="center" vertical="center" wrapText="1"/>
      <protection locked="0"/>
    </xf>
    <xf numFmtId="0" fontId="12" fillId="0" borderId="0" xfId="36" applyFont="1" applyAlignment="1">
      <alignment horizontal="left" vertical="top" wrapText="1"/>
    </xf>
    <xf numFmtId="2" fontId="10" fillId="0" borderId="17" xfId="36" applyNumberFormat="1" applyFont="1" applyBorder="1" applyAlignment="1">
      <alignment horizontal="center" vertical="center" wrapText="1"/>
    </xf>
    <xf numFmtId="0" fontId="0" fillId="0" borderId="18" xfId="0" applyBorder="1" applyAlignment="1">
      <alignment horizontal="center"/>
    </xf>
    <xf numFmtId="0" fontId="0" fillId="0" borderId="14" xfId="0" applyBorder="1" applyAlignment="1">
      <alignment horizontal="center"/>
    </xf>
    <xf numFmtId="2" fontId="73" fillId="0" borderId="17" xfId="36" applyNumberFormat="1" applyFont="1" applyBorder="1" applyAlignment="1">
      <alignment horizontal="center" vertical="center"/>
    </xf>
    <xf numFmtId="2" fontId="73" fillId="29" borderId="7" xfId="36" applyNumberFormat="1" applyFont="1" applyFill="1" applyBorder="1" applyAlignment="1">
      <alignment horizontal="center" vertical="center" wrapText="1"/>
    </xf>
    <xf numFmtId="2" fontId="73" fillId="0" borderId="7" xfId="36" applyNumberFormat="1" applyFont="1" applyFill="1" applyBorder="1" applyAlignment="1">
      <alignment horizontal="center" vertical="center" wrapText="1"/>
    </xf>
    <xf numFmtId="0" fontId="73" fillId="0" borderId="0" xfId="36" applyFont="1" applyAlignment="1">
      <alignment horizontal="center"/>
    </xf>
    <xf numFmtId="0" fontId="73" fillId="0" borderId="0" xfId="0" applyFont="1" applyAlignment="1">
      <alignment horizontal="center"/>
    </xf>
    <xf numFmtId="0" fontId="0" fillId="0" borderId="0" xfId="0" applyAlignment="1">
      <alignment horizontal="center"/>
    </xf>
    <xf numFmtId="0" fontId="73" fillId="0" borderId="0" xfId="36" applyFont="1" applyAlignment="1">
      <alignment horizontal="center" vertical="top"/>
    </xf>
    <xf numFmtId="0" fontId="0" fillId="0" borderId="0" xfId="0" applyAlignment="1">
      <alignment vertical="top"/>
    </xf>
    <xf numFmtId="0" fontId="10" fillId="0" borderId="0" xfId="0" applyFont="1" applyAlignment="1">
      <alignment horizontal="center"/>
    </xf>
    <xf numFmtId="0" fontId="10" fillId="0" borderId="11" xfId="0" applyFont="1" applyBorder="1" applyAlignment="1">
      <alignment horizontal="center"/>
    </xf>
    <xf numFmtId="0" fontId="0" fillId="0" borderId="11" xfId="0" applyBorder="1" applyAlignment="1">
      <alignment horizontal="center"/>
    </xf>
    <xf numFmtId="0" fontId="97" fillId="29" borderId="17" xfId="0" applyFont="1" applyFill="1" applyBorder="1" applyAlignment="1">
      <alignment horizontal="center" vertical="center"/>
    </xf>
    <xf numFmtId="0" fontId="97" fillId="29" borderId="18" xfId="0" applyFont="1" applyFill="1" applyBorder="1" applyAlignment="1">
      <alignment horizontal="center" vertical="center"/>
    </xf>
    <xf numFmtId="0" fontId="97" fillId="29" borderId="14" xfId="0" applyFont="1" applyFill="1" applyBorder="1" applyAlignment="1">
      <alignment horizontal="center" vertical="center"/>
    </xf>
    <xf numFmtId="0" fontId="9" fillId="0" borderId="0" xfId="36" applyFont="1" applyAlignment="1">
      <alignment horizontal="left" vertical="top" wrapText="1"/>
    </xf>
    <xf numFmtId="0" fontId="98" fillId="0" borderId="0" xfId="0" applyFont="1" applyAlignment="1">
      <alignment horizontal="right" vertical="center"/>
    </xf>
    <xf numFmtId="0" fontId="9" fillId="0" borderId="0" xfId="0" applyFont="1" applyAlignment="1">
      <alignment horizontal="right" vertical="center"/>
    </xf>
    <xf numFmtId="0" fontId="9" fillId="0" borderId="0" xfId="0" applyFont="1" applyAlignment="1">
      <alignment horizontal="left"/>
    </xf>
    <xf numFmtId="4" fontId="39" fillId="0" borderId="9" xfId="0" applyNumberFormat="1" applyFont="1" applyFill="1" applyBorder="1" applyAlignment="1">
      <alignment horizontal="center" vertical="center" wrapText="1"/>
    </xf>
    <xf numFmtId="4" fontId="0" fillId="0" borderId="9" xfId="0" applyNumberFormat="1" applyFill="1" applyBorder="1" applyAlignment="1">
      <alignment horizontal="center" vertical="center" wrapText="1"/>
    </xf>
    <xf numFmtId="49" fontId="39" fillId="0" borderId="9" xfId="0" applyNumberFormat="1" applyFont="1" applyFill="1" applyBorder="1" applyAlignment="1">
      <alignment horizontal="center" vertical="center" wrapText="1"/>
    </xf>
    <xf numFmtId="4" fontId="43" fillId="0" borderId="8" xfId="38" applyNumberFormat="1" applyFont="1" applyFill="1" applyBorder="1" applyAlignment="1" applyProtection="1">
      <alignment horizontal="center" vertical="center" wrapText="1"/>
      <protection locked="0"/>
    </xf>
    <xf numFmtId="4" fontId="43" fillId="0" borderId="9" xfId="38" applyNumberFormat="1" applyFont="1" applyFill="1" applyBorder="1" applyAlignment="1" applyProtection="1">
      <alignment horizontal="center" vertical="center" wrapText="1"/>
      <protection locked="0"/>
    </xf>
    <xf numFmtId="4" fontId="43" fillId="0" borderId="10" xfId="38" applyNumberFormat="1" applyFont="1" applyFill="1" applyBorder="1" applyAlignment="1" applyProtection="1">
      <alignment horizontal="center" vertical="center" wrapText="1"/>
      <protection locked="0"/>
    </xf>
    <xf numFmtId="4" fontId="43" fillId="0" borderId="8" xfId="38" applyNumberFormat="1" applyFont="1" applyFill="1" applyBorder="1" applyAlignment="1">
      <alignment horizontal="center" vertical="center" wrapText="1"/>
    </xf>
    <xf numFmtId="4" fontId="43" fillId="0" borderId="9" xfId="38" applyNumberFormat="1" applyFont="1" applyFill="1" applyBorder="1" applyAlignment="1">
      <alignment horizontal="center" vertical="center" wrapText="1"/>
    </xf>
    <xf numFmtId="4" fontId="43" fillId="0" borderId="10" xfId="38" applyNumberFormat="1" applyFont="1" applyFill="1" applyBorder="1" applyAlignment="1">
      <alignment horizontal="center" vertical="center" wrapText="1"/>
    </xf>
    <xf numFmtId="49" fontId="39" fillId="33" borderId="8" xfId="0" applyNumberFormat="1" applyFont="1" applyFill="1" applyBorder="1" applyAlignment="1">
      <alignment horizontal="center" vertical="center" wrapText="1"/>
    </xf>
    <xf numFmtId="0" fontId="0" fillId="33" borderId="10" xfId="0" applyFill="1" applyBorder="1" applyAlignment="1">
      <alignment horizontal="center" vertical="center" wrapText="1"/>
    </xf>
    <xf numFmtId="164" fontId="110" fillId="33" borderId="8" xfId="30" applyNumberFormat="1" applyFont="1" applyFill="1" applyBorder="1" applyAlignment="1">
      <alignment horizontal="center" vertical="center" wrapText="1"/>
    </xf>
    <xf numFmtId="4" fontId="39" fillId="33" borderId="8" xfId="0" applyNumberFormat="1" applyFont="1" applyFill="1" applyBorder="1" applyAlignment="1">
      <alignment horizontal="center" vertical="center" wrapText="1"/>
    </xf>
    <xf numFmtId="4" fontId="43" fillId="33" borderId="8" xfId="0" applyNumberFormat="1" applyFont="1" applyFill="1" applyBorder="1" applyAlignment="1">
      <alignment horizontal="center" vertical="center" wrapText="1"/>
    </xf>
    <xf numFmtId="4" fontId="43" fillId="0" borderId="9" xfId="0" applyNumberFormat="1" applyFont="1" applyFill="1" applyBorder="1" applyAlignment="1">
      <alignment horizontal="center" vertical="center" wrapText="1"/>
    </xf>
    <xf numFmtId="4" fontId="43" fillId="0" borderId="10" xfId="0" applyNumberFormat="1" applyFont="1" applyFill="1" applyBorder="1" applyAlignment="1">
      <alignment horizontal="center" vertical="center" wrapText="1"/>
    </xf>
    <xf numFmtId="0" fontId="0" fillId="33" borderId="9" xfId="0" applyFill="1" applyBorder="1"/>
    <xf numFmtId="0" fontId="0" fillId="33" borderId="10" xfId="0" applyFill="1" applyBorder="1"/>
    <xf numFmtId="0" fontId="0" fillId="33" borderId="9" xfId="0" applyFill="1" applyBorder="1" applyAlignment="1">
      <alignment horizontal="center" vertical="center" wrapText="1"/>
    </xf>
    <xf numFmtId="4" fontId="44" fillId="28" borderId="16" xfId="0" applyNumberFormat="1" applyFont="1" applyFill="1" applyBorder="1" applyAlignment="1">
      <alignment horizontal="center" vertical="center" wrapText="1"/>
    </xf>
    <xf numFmtId="0" fontId="119" fillId="0" borderId="7" xfId="86" applyFont="1" applyBorder="1" applyAlignment="1">
      <alignment horizontal="center" vertical="center" wrapText="1"/>
    </xf>
    <xf numFmtId="0" fontId="117" fillId="0" borderId="0" xfId="86" applyFont="1" applyAlignment="1">
      <alignment horizontal="right" vertical="center"/>
    </xf>
    <xf numFmtId="0" fontId="118" fillId="0" borderId="0" xfId="86" applyFont="1" applyAlignment="1">
      <alignment horizontal="center" vertical="center"/>
    </xf>
    <xf numFmtId="49" fontId="118" fillId="31" borderId="0" xfId="86" applyNumberFormat="1" applyFont="1" applyFill="1" applyAlignment="1">
      <alignment horizontal="center" vertical="center" wrapText="1"/>
    </xf>
  </cellXfs>
  <cellStyles count="94">
    <cellStyle name="20% - Акцент1" xfId="46"/>
    <cellStyle name="20% - Акцент2" xfId="47"/>
    <cellStyle name="20% - Акцент3" xfId="48"/>
    <cellStyle name="20% - Акцент4" xfId="49"/>
    <cellStyle name="20% - Акцент5" xfId="50"/>
    <cellStyle name="20% - Акцент6" xfId="51"/>
    <cellStyle name="40% - Акцент1" xfId="52"/>
    <cellStyle name="40% - Акцент2" xfId="53"/>
    <cellStyle name="40% - Акцент3" xfId="54"/>
    <cellStyle name="40% - Акцент4" xfId="55"/>
    <cellStyle name="40% - Акцент5" xfId="56"/>
    <cellStyle name="40% - Акцент6" xfId="57"/>
    <cellStyle name="60% - Акцент1" xfId="58"/>
    <cellStyle name="60% - Акцент2" xfId="59"/>
    <cellStyle name="60% - Акцент3" xfId="60"/>
    <cellStyle name="60% - Акцент4" xfId="61"/>
    <cellStyle name="60% - Акцент5" xfId="62"/>
    <cellStyle name="60% - Акцент6" xfId="63"/>
    <cellStyle name="Excel Built-in Обычный_УКБ до бюджету 2016р ост" xfId="84"/>
    <cellStyle name="Normal_meresha_07" xfId="1"/>
    <cellStyle name="Акцент1" xfId="64"/>
    <cellStyle name="Акцент2" xfId="65"/>
    <cellStyle name="Акцент3" xfId="66"/>
    <cellStyle name="Акцент4" xfId="67"/>
    <cellStyle name="Акцент5" xfId="68"/>
    <cellStyle name="Акцент6" xfId="69"/>
    <cellStyle name="Ввід" xfId="2"/>
    <cellStyle name="Ввод " xfId="70"/>
    <cellStyle name="Вывод" xfId="71"/>
    <cellStyle name="Вычисление" xfId="72"/>
    <cellStyle name="Гіперпосилання 2" xfId="73"/>
    <cellStyle name="Добре" xfId="3"/>
    <cellStyle name="Заголовок 1" xfId="4" builtinId="16" customBuiltin="1"/>
    <cellStyle name="Заголовок 2" xfId="5" builtinId="17" customBuiltin="1"/>
    <cellStyle name="Заголовок 3" xfId="6" builtinId="18" customBuiltin="1"/>
    <cellStyle name="Заголовок 4" xfId="7" builtinId="19" customBuiltin="1"/>
    <cellStyle name="Звичайний" xfId="0" builtinId="0"/>
    <cellStyle name="Звичайний 10" xfId="8"/>
    <cellStyle name="Звичайний 11" xfId="9"/>
    <cellStyle name="Звичайний 12" xfId="10"/>
    <cellStyle name="Звичайний 13" xfId="11"/>
    <cellStyle name="Звичайний 14" xfId="12"/>
    <cellStyle name="Звичайний 15" xfId="13"/>
    <cellStyle name="Звичайний 16" xfId="14"/>
    <cellStyle name="Звичайний 17" xfId="15"/>
    <cellStyle name="Звичайний 18" xfId="16"/>
    <cellStyle name="Звичайний 19" xfId="17"/>
    <cellStyle name="Звичайний 2" xfId="18"/>
    <cellStyle name="Звичайний 2 2" xfId="19"/>
    <cellStyle name="Звичайний 2 2 2" xfId="88"/>
    <cellStyle name="Звичайний 20" xfId="20"/>
    <cellStyle name="Звичайний 21" xfId="86"/>
    <cellStyle name="Звичайний 27 3 2" xfId="87"/>
    <cellStyle name="Звичайний 3" xfId="21"/>
    <cellStyle name="Звичайний 3 2" xfId="22"/>
    <cellStyle name="Звичайний 3 2 2" xfId="89"/>
    <cellStyle name="Звичайний 4" xfId="23"/>
    <cellStyle name="Звичайний 4 2" xfId="24"/>
    <cellStyle name="Звичайний 4 2 2" xfId="90"/>
    <cellStyle name="Звичайний 5" xfId="25"/>
    <cellStyle name="Звичайний 6" xfId="26"/>
    <cellStyle name="Звичайний 7" xfId="27"/>
    <cellStyle name="Звичайний 8" xfId="28"/>
    <cellStyle name="Звичайний 9" xfId="29"/>
    <cellStyle name="Звичайний_Додаток _ 3 зм_ни 4575" xfId="30"/>
    <cellStyle name="Зв'язана клітинка" xfId="41"/>
    <cellStyle name="Итог" xfId="74"/>
    <cellStyle name="Контрольна клітинка" xfId="31"/>
    <cellStyle name="Контрольная ячейка" xfId="75"/>
    <cellStyle name="Назва" xfId="32"/>
    <cellStyle name="Название" xfId="76"/>
    <cellStyle name="Нейтральный" xfId="77"/>
    <cellStyle name="Обычный 2" xfId="33"/>
    <cellStyle name="Обычный 2 2" xfId="34"/>
    <cellStyle name="Обычный 2 2 2" xfId="91"/>
    <cellStyle name="Обычный 3" xfId="35"/>
    <cellStyle name="Обычный 4 3" xfId="85"/>
    <cellStyle name="Обычный_Plan_kapbud_2006 уточн." xfId="36"/>
    <cellStyle name="Обычный_дод.1" xfId="37"/>
    <cellStyle name="Обычный_Додаток 2 до бюджету 2000 року" xfId="38"/>
    <cellStyle name="Обычный_Додаток №1" xfId="39"/>
    <cellStyle name="Обычный_КАПІТАЛЬНІ  ВКЛАДЕННЯ 2015 2 2" xfId="45"/>
    <cellStyle name="Обычный_УЖКГ бюджет 2016 Після Ямчука 2" xfId="40"/>
    <cellStyle name="Обычный_УКБ до бюджету 2016р ост 2" xfId="93"/>
    <cellStyle name="Обычный_УКБ до бюджету 2016р ост 3" xfId="92"/>
    <cellStyle name="Плохой" xfId="78"/>
    <cellStyle name="Пояснение" xfId="79"/>
    <cellStyle name="Примечание" xfId="80"/>
    <cellStyle name="Связанная ячейка" xfId="81"/>
    <cellStyle name="Середній" xfId="42"/>
    <cellStyle name="Стиль 1" xfId="43"/>
    <cellStyle name="Текст попередження" xfId="44"/>
    <cellStyle name="Текст предупреждения" xfId="82"/>
    <cellStyle name="Хороший" xfId="83"/>
  </cellStyles>
  <dxfs count="0"/>
  <tableStyles count="0" defaultTableStyle="TableStyleMedium2" defaultPivotStyle="PivotStyleLight16"/>
  <colors>
    <mruColors>
      <color rgb="FFCCFFCC"/>
      <color rgb="FF66FFFF"/>
      <color rgb="FFCCFFFF"/>
      <color rgb="FF99FF99"/>
      <color rgb="FFFFFFCC"/>
      <color rgb="FFFF99FF"/>
      <color rgb="FFFFFF99"/>
      <color rgb="FF66FFCC"/>
      <color rgb="FFFF9900"/>
      <color rgb="FFFB05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
  <dimension ref="A1:G164"/>
  <sheetViews>
    <sheetView showZeros="0" view="pageBreakPreview" topLeftCell="A105" zoomScaleSheetLayoutView="100" workbookViewId="0">
      <selection activeCell="E116" sqref="E116"/>
    </sheetView>
  </sheetViews>
  <sheetFormatPr defaultColWidth="6.85546875" defaultRowHeight="12.75" x14ac:dyDescent="0.2"/>
  <cols>
    <col min="1" max="1" width="10.140625" style="25" customWidth="1"/>
    <col min="2" max="2" width="40.42578125" style="25" customWidth="1"/>
    <col min="3" max="4" width="17.28515625" style="25" customWidth="1"/>
    <col min="5" max="5" width="15.7109375" style="25" customWidth="1"/>
    <col min="6" max="6" width="14.5703125" style="25" customWidth="1"/>
    <col min="7" max="252" width="7.85546875" style="25" customWidth="1"/>
    <col min="253" max="16384" width="6.85546875" style="25"/>
  </cols>
  <sheetData>
    <row r="1" spans="1:7" ht="15.75" x14ac:dyDescent="0.2">
      <c r="D1" s="437" t="s">
        <v>92</v>
      </c>
      <c r="E1" s="438"/>
      <c r="F1" s="438"/>
      <c r="G1" s="438"/>
    </row>
    <row r="2" spans="1:7" ht="15.75" x14ac:dyDescent="0.2">
      <c r="C2" s="26"/>
      <c r="D2" s="437" t="s">
        <v>908</v>
      </c>
      <c r="E2" s="439"/>
      <c r="F2" s="439"/>
      <c r="G2" s="439"/>
    </row>
    <row r="3" spans="1:7" ht="6" customHeight="1" x14ac:dyDescent="0.2">
      <c r="C3" s="26"/>
      <c r="D3" s="437"/>
      <c r="E3" s="439"/>
      <c r="F3" s="439"/>
      <c r="G3" s="439"/>
    </row>
    <row r="4" spans="1:7" ht="20.25" hidden="1" x14ac:dyDescent="0.2">
      <c r="A4" s="440"/>
      <c r="B4" s="440"/>
      <c r="C4" s="440"/>
      <c r="D4" s="440"/>
      <c r="E4" s="440"/>
    </row>
    <row r="5" spans="1:7" ht="25.5" customHeight="1" x14ac:dyDescent="0.2">
      <c r="A5" s="440" t="s">
        <v>634</v>
      </c>
      <c r="B5" s="440"/>
      <c r="C5" s="440"/>
      <c r="D5" s="440"/>
      <c r="E5" s="440"/>
    </row>
    <row r="6" spans="1:7" ht="10.5" customHeight="1" x14ac:dyDescent="0.2">
      <c r="B6" s="27"/>
      <c r="C6" s="27"/>
      <c r="D6" s="27"/>
      <c r="E6" s="27"/>
      <c r="F6" s="27" t="s">
        <v>93</v>
      </c>
    </row>
    <row r="7" spans="1:7" s="28" customFormat="1" ht="31.7" customHeight="1" x14ac:dyDescent="0.2">
      <c r="A7" s="436" t="s">
        <v>94</v>
      </c>
      <c r="B7" s="436" t="s">
        <v>95</v>
      </c>
      <c r="C7" s="436" t="s">
        <v>642</v>
      </c>
      <c r="D7" s="436" t="s">
        <v>25</v>
      </c>
      <c r="E7" s="436" t="s">
        <v>84</v>
      </c>
      <c r="F7" s="436"/>
    </row>
    <row r="8" spans="1:7" s="30" customFormat="1" ht="38.25" x14ac:dyDescent="0.25">
      <c r="A8" s="436"/>
      <c r="B8" s="436"/>
      <c r="C8" s="436"/>
      <c r="D8" s="436"/>
      <c r="E8" s="207" t="s">
        <v>642</v>
      </c>
      <c r="F8" s="29" t="s">
        <v>742</v>
      </c>
    </row>
    <row r="9" spans="1:7" s="30" customFormat="1" ht="15.75" x14ac:dyDescent="0.25">
      <c r="A9" s="207">
        <v>1</v>
      </c>
      <c r="B9" s="207">
        <v>2</v>
      </c>
      <c r="C9" s="207">
        <v>3</v>
      </c>
      <c r="D9" s="207">
        <v>4</v>
      </c>
      <c r="E9" s="207">
        <v>5</v>
      </c>
      <c r="F9" s="29">
        <v>6</v>
      </c>
    </row>
    <row r="10" spans="1:7" s="34" customFormat="1" ht="14.25" x14ac:dyDescent="0.2">
      <c r="A10" s="31">
        <v>10000000</v>
      </c>
      <c r="B10" s="32" t="s">
        <v>96</v>
      </c>
      <c r="C10" s="33">
        <f>SUM(D10,E10)</f>
        <v>1753972217.6700001</v>
      </c>
      <c r="D10" s="33">
        <f>SUM(D11,D19,D20,D21,D22,D40)</f>
        <v>1753472217.6700001</v>
      </c>
      <c r="E10" s="33">
        <v>500000</v>
      </c>
      <c r="F10" s="33"/>
    </row>
    <row r="11" spans="1:7" s="39" customFormat="1" ht="25.5" x14ac:dyDescent="0.2">
      <c r="A11" s="35">
        <v>11000000</v>
      </c>
      <c r="B11" s="36" t="s">
        <v>97</v>
      </c>
      <c r="C11" s="37">
        <f t="shared" ref="C11:C79" si="0">SUM(D11,E11)</f>
        <v>1124473717.6700001</v>
      </c>
      <c r="D11" s="37">
        <f>SUM(D12,D17)</f>
        <v>1124473717.6700001</v>
      </c>
      <c r="E11" s="38"/>
      <c r="F11" s="38"/>
    </row>
    <row r="12" spans="1:7" s="39" customFormat="1" ht="14.25" x14ac:dyDescent="0.2">
      <c r="A12" s="31">
        <v>11010000</v>
      </c>
      <c r="B12" s="40" t="s">
        <v>98</v>
      </c>
      <c r="C12" s="37">
        <f t="shared" si="0"/>
        <v>1122833217.6700001</v>
      </c>
      <c r="D12" s="41">
        <f>SUM(D13:D16)</f>
        <v>1122833217.6700001</v>
      </c>
      <c r="E12" s="33"/>
      <c r="F12" s="33"/>
    </row>
    <row r="13" spans="1:7" s="39" customFormat="1" ht="36" x14ac:dyDescent="0.2">
      <c r="A13" s="42">
        <v>11010100</v>
      </c>
      <c r="B13" s="43" t="s">
        <v>99</v>
      </c>
      <c r="C13" s="33">
        <f t="shared" si="0"/>
        <v>944573169.66999996</v>
      </c>
      <c r="D13" s="44">
        <v>944573169.66999996</v>
      </c>
      <c r="E13" s="44"/>
      <c r="F13" s="44"/>
    </row>
    <row r="14" spans="1:7" s="39" customFormat="1" ht="60" x14ac:dyDescent="0.2">
      <c r="A14" s="42">
        <v>11010200</v>
      </c>
      <c r="B14" s="43" t="s">
        <v>100</v>
      </c>
      <c r="C14" s="33">
        <f t="shared" si="0"/>
        <v>145260048</v>
      </c>
      <c r="D14" s="44">
        <v>145260048</v>
      </c>
      <c r="E14" s="44"/>
      <c r="F14" s="44"/>
    </row>
    <row r="15" spans="1:7" s="39" customFormat="1" ht="36" x14ac:dyDescent="0.2">
      <c r="A15" s="42">
        <v>11010400</v>
      </c>
      <c r="B15" s="43" t="s">
        <v>101</v>
      </c>
      <c r="C15" s="33">
        <f t="shared" si="0"/>
        <v>15500000</v>
      </c>
      <c r="D15" s="44">
        <v>15500000</v>
      </c>
      <c r="E15" s="44"/>
      <c r="F15" s="44"/>
    </row>
    <row r="16" spans="1:7" s="30" customFormat="1" ht="36" x14ac:dyDescent="0.25">
      <c r="A16" s="42">
        <v>11010500</v>
      </c>
      <c r="B16" s="43" t="s">
        <v>102</v>
      </c>
      <c r="C16" s="33">
        <f t="shared" si="0"/>
        <v>17500000</v>
      </c>
      <c r="D16" s="44">
        <v>17500000</v>
      </c>
      <c r="E16" s="44"/>
      <c r="F16" s="44"/>
    </row>
    <row r="17" spans="1:6" s="34" customFormat="1" ht="15" x14ac:dyDescent="0.2">
      <c r="A17" s="35">
        <v>11020000</v>
      </c>
      <c r="B17" s="40" t="s">
        <v>103</v>
      </c>
      <c r="C17" s="33">
        <f t="shared" si="0"/>
        <v>1640500</v>
      </c>
      <c r="D17" s="45">
        <v>1640500</v>
      </c>
      <c r="E17" s="46"/>
      <c r="F17" s="46"/>
    </row>
    <row r="18" spans="1:6" s="30" customFormat="1" ht="24" x14ac:dyDescent="0.25">
      <c r="A18" s="42">
        <v>11020200</v>
      </c>
      <c r="B18" s="47" t="s">
        <v>104</v>
      </c>
      <c r="C18" s="33">
        <f t="shared" si="0"/>
        <v>1640500</v>
      </c>
      <c r="D18" s="38">
        <v>1640500</v>
      </c>
      <c r="E18" s="48"/>
      <c r="F18" s="38"/>
    </row>
    <row r="19" spans="1:6" s="50" customFormat="1" ht="26.45" customHeight="1" x14ac:dyDescent="0.2">
      <c r="A19" s="29">
        <v>14021900</v>
      </c>
      <c r="B19" s="36" t="s">
        <v>225</v>
      </c>
      <c r="C19" s="37">
        <f>SUM(D19,E19)</f>
        <v>12350000</v>
      </c>
      <c r="D19" s="37">
        <v>12350000</v>
      </c>
      <c r="E19" s="49"/>
      <c r="F19" s="49"/>
    </row>
    <row r="20" spans="1:6" s="50" customFormat="1" ht="22.7" customHeight="1" x14ac:dyDescent="0.2">
      <c r="A20" s="29">
        <v>14031900</v>
      </c>
      <c r="B20" s="36" t="s">
        <v>226</v>
      </c>
      <c r="C20" s="37">
        <v>57865000</v>
      </c>
      <c r="D20" s="37">
        <v>57865000</v>
      </c>
      <c r="E20" s="49"/>
      <c r="F20" s="49"/>
    </row>
    <row r="21" spans="1:6" s="50" customFormat="1" ht="39.75" customHeight="1" x14ac:dyDescent="0.2">
      <c r="A21" s="29">
        <v>14040000</v>
      </c>
      <c r="B21" s="36" t="s">
        <v>105</v>
      </c>
      <c r="C21" s="37">
        <v>72500000</v>
      </c>
      <c r="D21" s="37">
        <v>72500000</v>
      </c>
      <c r="E21" s="49"/>
      <c r="F21" s="49"/>
    </row>
    <row r="22" spans="1:6" s="30" customFormat="1" ht="15" x14ac:dyDescent="0.25">
      <c r="A22" s="31">
        <v>18000000</v>
      </c>
      <c r="B22" s="51" t="s">
        <v>106</v>
      </c>
      <c r="C22" s="33">
        <f t="shared" si="0"/>
        <v>486283500</v>
      </c>
      <c r="D22" s="33">
        <f>SUM(D23,D34,D37)</f>
        <v>486283500</v>
      </c>
      <c r="E22" s="33"/>
      <c r="F22" s="33"/>
    </row>
    <row r="23" spans="1:6" s="30" customFormat="1" ht="15" x14ac:dyDescent="0.25">
      <c r="A23" s="35">
        <v>18010000</v>
      </c>
      <c r="B23" s="52" t="s">
        <v>107</v>
      </c>
      <c r="C23" s="33">
        <f t="shared" si="0"/>
        <v>180683500</v>
      </c>
      <c r="D23" s="53">
        <f>SUM(D24:D33)</f>
        <v>180683500</v>
      </c>
      <c r="E23" s="38"/>
      <c r="F23" s="38"/>
    </row>
    <row r="24" spans="1:6" s="30" customFormat="1" ht="36" x14ac:dyDescent="0.25">
      <c r="A24" s="35">
        <v>18010100</v>
      </c>
      <c r="B24" s="54" t="s">
        <v>108</v>
      </c>
      <c r="C24" s="33">
        <f t="shared" si="0"/>
        <v>175500</v>
      </c>
      <c r="D24" s="38">
        <v>175500</v>
      </c>
      <c r="E24" s="38"/>
      <c r="F24" s="38"/>
    </row>
    <row r="25" spans="1:6" s="30" customFormat="1" ht="36" x14ac:dyDescent="0.25">
      <c r="A25" s="35">
        <v>18010200</v>
      </c>
      <c r="B25" s="54" t="s">
        <v>109</v>
      </c>
      <c r="C25" s="33">
        <f>D25</f>
        <v>11550000</v>
      </c>
      <c r="D25" s="38">
        <v>11550000</v>
      </c>
      <c r="E25" s="38"/>
      <c r="F25" s="38"/>
    </row>
    <row r="26" spans="1:6" s="30" customFormat="1" ht="36" x14ac:dyDescent="0.25">
      <c r="A26" s="35">
        <v>18010300</v>
      </c>
      <c r="B26" s="54" t="s">
        <v>110</v>
      </c>
      <c r="C26" s="33">
        <f t="shared" si="0"/>
        <v>825000</v>
      </c>
      <c r="D26" s="38">
        <v>825000</v>
      </c>
      <c r="E26" s="38"/>
      <c r="F26" s="38"/>
    </row>
    <row r="27" spans="1:6" s="30" customFormat="1" ht="36" x14ac:dyDescent="0.25">
      <c r="A27" s="35">
        <v>18010400</v>
      </c>
      <c r="B27" s="54" t="s">
        <v>111</v>
      </c>
      <c r="C27" s="33">
        <f t="shared" si="0"/>
        <v>8450000</v>
      </c>
      <c r="D27" s="38">
        <v>8450000</v>
      </c>
      <c r="E27" s="38"/>
      <c r="F27" s="38"/>
    </row>
    <row r="28" spans="1:6" s="30" customFormat="1" ht="15" x14ac:dyDescent="0.25">
      <c r="A28" s="35">
        <v>18010500</v>
      </c>
      <c r="B28" s="55" t="s">
        <v>112</v>
      </c>
      <c r="C28" s="33">
        <f t="shared" si="0"/>
        <v>43223000</v>
      </c>
      <c r="D28" s="38">
        <v>43223000</v>
      </c>
      <c r="E28" s="38"/>
      <c r="F28" s="38"/>
    </row>
    <row r="29" spans="1:6" s="30" customFormat="1" ht="15" x14ac:dyDescent="0.25">
      <c r="A29" s="35">
        <v>18010600</v>
      </c>
      <c r="B29" s="54" t="s">
        <v>113</v>
      </c>
      <c r="C29" s="33">
        <f t="shared" si="0"/>
        <v>86660000</v>
      </c>
      <c r="D29" s="38">
        <v>86660000</v>
      </c>
      <c r="E29" s="38"/>
      <c r="F29" s="38"/>
    </row>
    <row r="30" spans="1:6" s="30" customFormat="1" ht="15" x14ac:dyDescent="0.25">
      <c r="A30" s="35">
        <v>18010700</v>
      </c>
      <c r="B30" s="54" t="s">
        <v>114</v>
      </c>
      <c r="C30" s="33">
        <f t="shared" si="0"/>
        <v>2000000</v>
      </c>
      <c r="D30" s="38">
        <v>2000000</v>
      </c>
      <c r="E30" s="38"/>
      <c r="F30" s="38"/>
    </row>
    <row r="31" spans="1:6" s="30" customFormat="1" ht="15" x14ac:dyDescent="0.25">
      <c r="A31" s="35">
        <v>18010900</v>
      </c>
      <c r="B31" s="54" t="s">
        <v>115</v>
      </c>
      <c r="C31" s="33">
        <f t="shared" si="0"/>
        <v>25200000</v>
      </c>
      <c r="D31" s="38">
        <v>25200000</v>
      </c>
      <c r="E31" s="38"/>
      <c r="F31" s="38"/>
    </row>
    <row r="32" spans="1:6" s="34" customFormat="1" ht="15" x14ac:dyDescent="0.2">
      <c r="A32" s="35">
        <v>18011000</v>
      </c>
      <c r="B32" s="54" t="s">
        <v>116</v>
      </c>
      <c r="C32" s="33">
        <f t="shared" si="0"/>
        <v>1700000</v>
      </c>
      <c r="D32" s="38">
        <v>1700000</v>
      </c>
      <c r="E32" s="38"/>
      <c r="F32" s="38"/>
    </row>
    <row r="33" spans="1:6" s="30" customFormat="1" ht="15" x14ac:dyDescent="0.25">
      <c r="A33" s="35">
        <v>18011100</v>
      </c>
      <c r="B33" s="54" t="s">
        <v>117</v>
      </c>
      <c r="C33" s="33">
        <f t="shared" si="0"/>
        <v>900000</v>
      </c>
      <c r="D33" s="38">
        <v>900000</v>
      </c>
      <c r="E33" s="38"/>
      <c r="F33" s="38"/>
    </row>
    <row r="34" spans="1:6" s="30" customFormat="1" ht="15" x14ac:dyDescent="0.25">
      <c r="A34" s="31">
        <v>1803000</v>
      </c>
      <c r="B34" s="56" t="s">
        <v>118</v>
      </c>
      <c r="C34" s="33">
        <f t="shared" si="0"/>
        <v>250000</v>
      </c>
      <c r="D34" s="33">
        <f>SUM(D35:D36)</f>
        <v>250000</v>
      </c>
      <c r="E34" s="33"/>
      <c r="F34" s="33"/>
    </row>
    <row r="35" spans="1:6" s="30" customFormat="1" ht="15" x14ac:dyDescent="0.25">
      <c r="A35" s="35">
        <v>18030100</v>
      </c>
      <c r="B35" s="54" t="s">
        <v>119</v>
      </c>
      <c r="C35" s="33">
        <f t="shared" si="0"/>
        <v>130000</v>
      </c>
      <c r="D35" s="38">
        <v>130000</v>
      </c>
      <c r="E35" s="38"/>
      <c r="F35" s="38"/>
    </row>
    <row r="36" spans="1:6" s="30" customFormat="1" ht="15" x14ac:dyDescent="0.25">
      <c r="A36" s="35">
        <v>18030200</v>
      </c>
      <c r="B36" s="54" t="s">
        <v>120</v>
      </c>
      <c r="C36" s="33">
        <f t="shared" si="0"/>
        <v>120000</v>
      </c>
      <c r="D36" s="38">
        <v>120000</v>
      </c>
      <c r="E36" s="38"/>
      <c r="F36" s="38"/>
    </row>
    <row r="37" spans="1:6" s="30" customFormat="1" ht="15" x14ac:dyDescent="0.25">
      <c r="A37" s="31">
        <v>18050000</v>
      </c>
      <c r="B37" s="52" t="s">
        <v>121</v>
      </c>
      <c r="C37" s="33">
        <f t="shared" si="0"/>
        <v>305350000</v>
      </c>
      <c r="D37" s="33">
        <f>SUM(D38:D39)</f>
        <v>305350000</v>
      </c>
      <c r="E37" s="38"/>
      <c r="F37" s="38"/>
    </row>
    <row r="38" spans="1:6" s="30" customFormat="1" ht="17.45" customHeight="1" x14ac:dyDescent="0.25">
      <c r="A38" s="35">
        <v>18050300</v>
      </c>
      <c r="B38" s="43" t="s">
        <v>122</v>
      </c>
      <c r="C38" s="37">
        <f t="shared" si="0"/>
        <v>54877600</v>
      </c>
      <c r="D38" s="38">
        <v>54877600</v>
      </c>
      <c r="E38" s="38"/>
      <c r="F38" s="38"/>
    </row>
    <row r="39" spans="1:6" s="34" customFormat="1" ht="15" x14ac:dyDescent="0.2">
      <c r="A39" s="35">
        <v>18050400</v>
      </c>
      <c r="B39" s="54" t="s">
        <v>123</v>
      </c>
      <c r="C39" s="37">
        <f t="shared" si="0"/>
        <v>250472400</v>
      </c>
      <c r="D39" s="38">
        <v>250472400</v>
      </c>
      <c r="E39" s="38"/>
      <c r="F39" s="38"/>
    </row>
    <row r="40" spans="1:6" s="30" customFormat="1" ht="15" x14ac:dyDescent="0.25">
      <c r="A40" s="31">
        <v>1901000</v>
      </c>
      <c r="B40" s="51" t="s">
        <v>124</v>
      </c>
      <c r="C40" s="33">
        <f t="shared" si="0"/>
        <v>500000</v>
      </c>
      <c r="D40" s="33">
        <f>SUM(D41:D43)</f>
        <v>0</v>
      </c>
      <c r="E40" s="33">
        <v>500000</v>
      </c>
      <c r="F40" s="33"/>
    </row>
    <row r="41" spans="1:6" s="30" customFormat="1" ht="36" x14ac:dyDescent="0.25">
      <c r="A41" s="35">
        <v>19010100</v>
      </c>
      <c r="B41" s="43" t="s">
        <v>125</v>
      </c>
      <c r="C41" s="33">
        <f t="shared" si="0"/>
        <v>205000</v>
      </c>
      <c r="D41" s="38"/>
      <c r="E41" s="38">
        <v>205000</v>
      </c>
      <c r="F41" s="38"/>
    </row>
    <row r="42" spans="1:6" s="50" customFormat="1" ht="24" x14ac:dyDescent="0.2">
      <c r="A42" s="35">
        <v>19010200</v>
      </c>
      <c r="B42" s="43" t="s">
        <v>126</v>
      </c>
      <c r="C42" s="33">
        <f t="shared" si="0"/>
        <v>110000</v>
      </c>
      <c r="D42" s="38"/>
      <c r="E42" s="38">
        <v>110000</v>
      </c>
      <c r="F42" s="38"/>
    </row>
    <row r="43" spans="1:6" s="30" customFormat="1" ht="36" x14ac:dyDescent="0.25">
      <c r="A43" s="35">
        <v>19010300</v>
      </c>
      <c r="B43" s="43" t="s">
        <v>127</v>
      </c>
      <c r="C43" s="33">
        <f t="shared" si="0"/>
        <v>185000</v>
      </c>
      <c r="D43" s="38"/>
      <c r="E43" s="38">
        <v>185000</v>
      </c>
      <c r="F43" s="38"/>
    </row>
    <row r="44" spans="1:6" s="30" customFormat="1" ht="15" x14ac:dyDescent="0.25">
      <c r="A44" s="31">
        <v>20000000</v>
      </c>
      <c r="B44" s="32" t="s">
        <v>128</v>
      </c>
      <c r="C44" s="33">
        <f t="shared" si="0"/>
        <v>212640230</v>
      </c>
      <c r="D44" s="37">
        <f>SUM(D45,D46,D47,D50,D51,D60,D64)</f>
        <v>73820000</v>
      </c>
      <c r="E44" s="37">
        <f>SUM(E45,E51,E60,E56,E64)</f>
        <v>138820230</v>
      </c>
      <c r="F44" s="37">
        <f>SUM(F45,F51,F60,F56)</f>
        <v>18000000</v>
      </c>
    </row>
    <row r="45" spans="1:6" s="30" customFormat="1" ht="41.25" customHeight="1" x14ac:dyDescent="0.25">
      <c r="A45" s="35">
        <v>21010300</v>
      </c>
      <c r="B45" s="57" t="s">
        <v>129</v>
      </c>
      <c r="C45" s="33">
        <f t="shared" si="0"/>
        <v>1000000</v>
      </c>
      <c r="D45" s="38">
        <v>1000000</v>
      </c>
      <c r="E45" s="38"/>
      <c r="F45" s="38"/>
    </row>
    <row r="46" spans="1:6" s="30" customFormat="1" ht="27" customHeight="1" x14ac:dyDescent="0.25">
      <c r="A46" s="35">
        <v>21050000</v>
      </c>
      <c r="B46" s="57" t="s">
        <v>130</v>
      </c>
      <c r="C46" s="33">
        <v>12500000</v>
      </c>
      <c r="D46" s="38">
        <v>12500000</v>
      </c>
      <c r="E46" s="38"/>
      <c r="F46" s="38"/>
    </row>
    <row r="47" spans="1:6" s="50" customFormat="1" ht="27" x14ac:dyDescent="0.2">
      <c r="A47" s="58">
        <v>21800000</v>
      </c>
      <c r="B47" s="59" t="s">
        <v>131</v>
      </c>
      <c r="C47" s="37">
        <f>SUM(D47,E47)</f>
        <v>2300000</v>
      </c>
      <c r="D47" s="41">
        <f>SUM(D48:D49)</f>
        <v>2300000</v>
      </c>
      <c r="E47" s="41"/>
      <c r="F47" s="41"/>
    </row>
    <row r="48" spans="1:6" s="30" customFormat="1" ht="15" x14ac:dyDescent="0.25">
      <c r="A48" s="42">
        <v>21081100</v>
      </c>
      <c r="B48" s="60" t="s">
        <v>132</v>
      </c>
      <c r="C48" s="33">
        <f>SUM(D48,E48)</f>
        <v>1300000</v>
      </c>
      <c r="D48" s="38">
        <v>1300000</v>
      </c>
      <c r="E48" s="38"/>
      <c r="F48" s="38"/>
    </row>
    <row r="49" spans="1:6" s="30" customFormat="1" ht="36" x14ac:dyDescent="0.25">
      <c r="A49" s="35">
        <v>21081500</v>
      </c>
      <c r="B49" s="43" t="s">
        <v>133</v>
      </c>
      <c r="C49" s="33">
        <f>SUM(D49,E49)</f>
        <v>1000000</v>
      </c>
      <c r="D49" s="38">
        <v>1000000</v>
      </c>
      <c r="E49" s="38"/>
      <c r="F49" s="38"/>
    </row>
    <row r="50" spans="1:6" s="152" customFormat="1" ht="15" x14ac:dyDescent="0.25">
      <c r="A50" s="151">
        <v>21081700</v>
      </c>
      <c r="B50" s="176" t="s">
        <v>627</v>
      </c>
      <c r="C50" s="53">
        <f>SUM(D50,E50)</f>
        <v>9000000</v>
      </c>
      <c r="D50" s="53">
        <v>9000000</v>
      </c>
      <c r="E50" s="53"/>
      <c r="F50" s="53"/>
    </row>
    <row r="51" spans="1:6" s="30" customFormat="1" ht="27" x14ac:dyDescent="0.25">
      <c r="A51" s="31">
        <v>22000000</v>
      </c>
      <c r="B51" s="40" t="s">
        <v>134</v>
      </c>
      <c r="C51" s="33">
        <f t="shared" si="0"/>
        <v>40020000</v>
      </c>
      <c r="D51" s="38">
        <f>SUM(D52:D56)</f>
        <v>40020000</v>
      </c>
      <c r="E51" s="38"/>
      <c r="F51" s="38"/>
    </row>
    <row r="52" spans="1:6" s="30" customFormat="1" ht="38.25" x14ac:dyDescent="0.25">
      <c r="A52" s="35">
        <v>22010300</v>
      </c>
      <c r="B52" s="61" t="s">
        <v>228</v>
      </c>
      <c r="C52" s="33">
        <v>905000</v>
      </c>
      <c r="D52" s="38">
        <v>905000</v>
      </c>
      <c r="E52" s="38"/>
      <c r="F52" s="38"/>
    </row>
    <row r="53" spans="1:6" s="30" customFormat="1" ht="25.5" x14ac:dyDescent="0.25">
      <c r="A53" s="35">
        <v>22012600</v>
      </c>
      <c r="B53" s="61" t="s">
        <v>135</v>
      </c>
      <c r="C53" s="33">
        <v>1080000</v>
      </c>
      <c r="D53" s="38">
        <v>1080000</v>
      </c>
      <c r="E53" s="38"/>
      <c r="F53" s="38"/>
    </row>
    <row r="54" spans="1:6" s="62" customFormat="1" ht="15" x14ac:dyDescent="0.2">
      <c r="A54" s="35">
        <v>22012500</v>
      </c>
      <c r="B54" s="43" t="s">
        <v>136</v>
      </c>
      <c r="C54" s="33">
        <f t="shared" si="0"/>
        <v>25085000</v>
      </c>
      <c r="D54" s="38">
        <v>25085000</v>
      </c>
      <c r="E54" s="38"/>
      <c r="F54" s="38"/>
    </row>
    <row r="55" spans="1:6" s="30" customFormat="1" ht="36" x14ac:dyDescent="0.25">
      <c r="A55" s="42">
        <v>22080400</v>
      </c>
      <c r="B55" s="60" t="s">
        <v>137</v>
      </c>
      <c r="C55" s="33">
        <f t="shared" si="0"/>
        <v>12100000</v>
      </c>
      <c r="D55" s="38">
        <v>12100000</v>
      </c>
      <c r="E55" s="38"/>
      <c r="F55" s="38"/>
    </row>
    <row r="56" spans="1:6" s="30" customFormat="1" ht="15" x14ac:dyDescent="0.25">
      <c r="A56" s="63">
        <v>22090000</v>
      </c>
      <c r="B56" s="64" t="s">
        <v>138</v>
      </c>
      <c r="C56" s="33">
        <f t="shared" si="0"/>
        <v>850000</v>
      </c>
      <c r="D56" s="65">
        <f>SUM(D57:D59)</f>
        <v>850000</v>
      </c>
      <c r="E56" s="66"/>
      <c r="F56" s="66"/>
    </row>
    <row r="57" spans="1:6" s="30" customFormat="1" ht="36" x14ac:dyDescent="0.25">
      <c r="A57" s="42">
        <v>22090100</v>
      </c>
      <c r="B57" s="54" t="s">
        <v>139</v>
      </c>
      <c r="C57" s="33">
        <f t="shared" si="0"/>
        <v>235000</v>
      </c>
      <c r="D57" s="38">
        <v>235000</v>
      </c>
      <c r="E57" s="38"/>
      <c r="F57" s="38"/>
    </row>
    <row r="58" spans="1:6" s="30" customFormat="1" ht="15" x14ac:dyDescent="0.25">
      <c r="A58" s="42">
        <v>22090200</v>
      </c>
      <c r="B58" s="54" t="s">
        <v>140</v>
      </c>
      <c r="C58" s="33">
        <f t="shared" si="0"/>
        <v>115000</v>
      </c>
      <c r="D58" s="38">
        <v>115000</v>
      </c>
      <c r="E58" s="38"/>
      <c r="F58" s="38"/>
    </row>
    <row r="59" spans="1:6" s="39" customFormat="1" ht="36" x14ac:dyDescent="0.2">
      <c r="A59" s="42">
        <v>22090400</v>
      </c>
      <c r="B59" s="54" t="s">
        <v>141</v>
      </c>
      <c r="C59" s="33">
        <f t="shared" si="0"/>
        <v>500000</v>
      </c>
      <c r="D59" s="38">
        <v>500000</v>
      </c>
      <c r="E59" s="38"/>
      <c r="F59" s="38"/>
    </row>
    <row r="60" spans="1:6" s="30" customFormat="1" ht="15" x14ac:dyDescent="0.25">
      <c r="A60" s="31">
        <v>24000000</v>
      </c>
      <c r="B60" s="64" t="s">
        <v>142</v>
      </c>
      <c r="C60" s="33">
        <f t="shared" si="0"/>
        <v>27000000</v>
      </c>
      <c r="D60" s="45">
        <f>D61+D62+D63</f>
        <v>9000000</v>
      </c>
      <c r="E60" s="45">
        <f>E61+E63</f>
        <v>18000000</v>
      </c>
      <c r="F60" s="33">
        <v>18000000</v>
      </c>
    </row>
    <row r="61" spans="1:6" s="30" customFormat="1" ht="15" x14ac:dyDescent="0.25">
      <c r="A61" s="42">
        <v>24060300</v>
      </c>
      <c r="B61" s="43" t="s">
        <v>143</v>
      </c>
      <c r="C61" s="33">
        <f t="shared" si="0"/>
        <v>6000000</v>
      </c>
      <c r="D61" s="46">
        <v>6000000</v>
      </c>
      <c r="E61" s="46"/>
      <c r="F61" s="46"/>
    </row>
    <row r="62" spans="1:6" s="30" customFormat="1" ht="60" x14ac:dyDescent="0.25">
      <c r="A62" s="42">
        <v>24062200</v>
      </c>
      <c r="B62" s="43" t="s">
        <v>628</v>
      </c>
      <c r="C62" s="33">
        <f t="shared" si="0"/>
        <v>3000000</v>
      </c>
      <c r="D62" s="46">
        <v>3000000</v>
      </c>
      <c r="E62" s="46"/>
      <c r="F62" s="46"/>
    </row>
    <row r="63" spans="1:6" s="34" customFormat="1" ht="24" x14ac:dyDescent="0.2">
      <c r="A63" s="42">
        <v>24170000</v>
      </c>
      <c r="B63" s="47" t="s">
        <v>144</v>
      </c>
      <c r="C63" s="33">
        <f t="shared" si="0"/>
        <v>18000000</v>
      </c>
      <c r="D63" s="46"/>
      <c r="E63" s="46">
        <v>18000000</v>
      </c>
      <c r="F63" s="46">
        <v>18000000</v>
      </c>
    </row>
    <row r="64" spans="1:6" s="30" customFormat="1" ht="15" x14ac:dyDescent="0.25">
      <c r="A64" s="31">
        <v>25000000</v>
      </c>
      <c r="B64" s="36" t="s">
        <v>145</v>
      </c>
      <c r="C64" s="33">
        <f t="shared" si="0"/>
        <v>120820230</v>
      </c>
      <c r="D64" s="45">
        <f>SUM(D65,D70)</f>
        <v>0</v>
      </c>
      <c r="E64" s="45">
        <f>SUM(E65,E70)</f>
        <v>120820230</v>
      </c>
      <c r="F64" s="45"/>
    </row>
    <row r="65" spans="1:6" s="30" customFormat="1" ht="38.25" x14ac:dyDescent="0.25">
      <c r="A65" s="35">
        <v>25010000</v>
      </c>
      <c r="B65" s="67" t="s">
        <v>146</v>
      </c>
      <c r="C65" s="33">
        <f t="shared" si="0"/>
        <v>120820230</v>
      </c>
      <c r="D65" s="46">
        <v>0</v>
      </c>
      <c r="E65" s="46">
        <f>SUM(E66:E69)</f>
        <v>120820230</v>
      </c>
      <c r="F65" s="46"/>
    </row>
    <row r="66" spans="1:6" s="30" customFormat="1" ht="25.5" x14ac:dyDescent="0.25">
      <c r="A66" s="35">
        <v>25010100</v>
      </c>
      <c r="B66" s="68" t="s">
        <v>147</v>
      </c>
      <c r="C66" s="33">
        <v>108176739</v>
      </c>
      <c r="D66" s="46">
        <v>0</v>
      </c>
      <c r="E66" s="46">
        <v>108176739</v>
      </c>
      <c r="F66" s="46"/>
    </row>
    <row r="67" spans="1:6" s="30" customFormat="1" ht="25.5" x14ac:dyDescent="0.25">
      <c r="A67" s="35">
        <v>25010200</v>
      </c>
      <c r="B67" s="68" t="s">
        <v>148</v>
      </c>
      <c r="C67" s="33">
        <f t="shared" si="0"/>
        <v>9272745</v>
      </c>
      <c r="D67" s="46">
        <v>0</v>
      </c>
      <c r="E67" s="46">
        <v>9272745</v>
      </c>
      <c r="F67" s="46"/>
    </row>
    <row r="68" spans="1:6" s="30" customFormat="1" ht="15" x14ac:dyDescent="0.25">
      <c r="A68" s="35">
        <v>25010300</v>
      </c>
      <c r="B68" s="68" t="s">
        <v>149</v>
      </c>
      <c r="C68" s="33">
        <f t="shared" si="0"/>
        <v>3339396</v>
      </c>
      <c r="D68" s="46">
        <v>0</v>
      </c>
      <c r="E68" s="46">
        <v>3339396</v>
      </c>
      <c r="F68" s="46"/>
    </row>
    <row r="69" spans="1:6" s="30" customFormat="1" ht="38.25" x14ac:dyDescent="0.25">
      <c r="A69" s="35">
        <v>25010400</v>
      </c>
      <c r="B69" s="68" t="s">
        <v>150</v>
      </c>
      <c r="C69" s="33">
        <f t="shared" si="0"/>
        <v>31350</v>
      </c>
      <c r="D69" s="46">
        <v>0</v>
      </c>
      <c r="E69" s="46">
        <v>31350</v>
      </c>
      <c r="F69" s="46"/>
    </row>
    <row r="70" spans="1:6" s="30" customFormat="1" ht="28.5" x14ac:dyDescent="0.25">
      <c r="A70" s="35">
        <v>25020000</v>
      </c>
      <c r="B70" s="67" t="s">
        <v>151</v>
      </c>
      <c r="C70" s="33">
        <f t="shared" si="0"/>
        <v>0</v>
      </c>
      <c r="D70" s="46">
        <v>0</v>
      </c>
      <c r="E70" s="46">
        <v>0</v>
      </c>
      <c r="F70" s="46"/>
    </row>
    <row r="71" spans="1:6" s="50" customFormat="1" ht="15" x14ac:dyDescent="0.2">
      <c r="A71" s="35">
        <v>25020100</v>
      </c>
      <c r="B71" s="68" t="s">
        <v>152</v>
      </c>
      <c r="C71" s="33">
        <f t="shared" si="0"/>
        <v>0</v>
      </c>
      <c r="D71" s="46">
        <v>0</v>
      </c>
      <c r="E71" s="46">
        <v>0</v>
      </c>
      <c r="F71" s="46"/>
    </row>
    <row r="72" spans="1:6" s="30" customFormat="1" ht="89.25" hidden="1" x14ac:dyDescent="0.25">
      <c r="A72" s="35">
        <v>25020200</v>
      </c>
      <c r="B72" s="68" t="s">
        <v>153</v>
      </c>
      <c r="C72" s="33">
        <f t="shared" si="0"/>
        <v>0</v>
      </c>
      <c r="D72" s="46"/>
      <c r="E72" s="46">
        <v>0</v>
      </c>
      <c r="F72" s="46"/>
    </row>
    <row r="73" spans="1:6" s="39" customFormat="1" ht="14.25" x14ac:dyDescent="0.2">
      <c r="A73" s="31">
        <v>30000000</v>
      </c>
      <c r="B73" s="32" t="s">
        <v>154</v>
      </c>
      <c r="C73" s="33">
        <f t="shared" si="0"/>
        <v>12935632</v>
      </c>
      <c r="D73" s="45">
        <f>SUM(D74)</f>
        <v>60000</v>
      </c>
      <c r="E73" s="45">
        <f>SUM(E74,E77)</f>
        <v>12875632</v>
      </c>
      <c r="F73" s="45">
        <f>SUM(F74,F77)</f>
        <v>12875632</v>
      </c>
    </row>
    <row r="74" spans="1:6" s="30" customFormat="1" ht="30" x14ac:dyDescent="0.25">
      <c r="A74" s="35">
        <v>31000000</v>
      </c>
      <c r="B74" s="69" t="s">
        <v>155</v>
      </c>
      <c r="C74" s="33">
        <f t="shared" si="0"/>
        <v>5135727</v>
      </c>
      <c r="D74" s="53">
        <v>60000</v>
      </c>
      <c r="E74" s="53">
        <f>SUM(E76)</f>
        <v>5075727</v>
      </c>
      <c r="F74" s="53">
        <f>SUM(F76)</f>
        <v>5075727</v>
      </c>
    </row>
    <row r="75" spans="1:6" s="30" customFormat="1" ht="60" x14ac:dyDescent="0.25">
      <c r="A75" s="42">
        <v>31010200</v>
      </c>
      <c r="B75" s="47" t="s">
        <v>156</v>
      </c>
      <c r="C75" s="33">
        <f>SUM(D75,E75)</f>
        <v>60000</v>
      </c>
      <c r="D75" s="46">
        <v>60000</v>
      </c>
      <c r="E75" s="46"/>
      <c r="F75" s="46"/>
    </row>
    <row r="76" spans="1:6" s="30" customFormat="1" ht="36" x14ac:dyDescent="0.25">
      <c r="A76" s="42">
        <v>31030000</v>
      </c>
      <c r="B76" s="70" t="s">
        <v>157</v>
      </c>
      <c r="C76" s="33">
        <f t="shared" si="0"/>
        <v>5075727</v>
      </c>
      <c r="D76" s="44"/>
      <c r="E76" s="44">
        <v>5075727</v>
      </c>
      <c r="F76" s="44">
        <v>5075727</v>
      </c>
    </row>
    <row r="77" spans="1:6" s="30" customFormat="1" ht="30" x14ac:dyDescent="0.25">
      <c r="A77" s="35">
        <v>33000000</v>
      </c>
      <c r="B77" s="69" t="s">
        <v>158</v>
      </c>
      <c r="C77" s="33">
        <f t="shared" si="0"/>
        <v>7799905</v>
      </c>
      <c r="D77" s="53"/>
      <c r="E77" s="53">
        <f>SUM(E78)</f>
        <v>7799905</v>
      </c>
      <c r="F77" s="53">
        <f>SUM(F78)</f>
        <v>7799905</v>
      </c>
    </row>
    <row r="78" spans="1:6" s="30" customFormat="1" ht="15" x14ac:dyDescent="0.25">
      <c r="A78" s="35">
        <v>33010000</v>
      </c>
      <c r="B78" s="69" t="s">
        <v>159</v>
      </c>
      <c r="C78" s="33">
        <f t="shared" si="0"/>
        <v>7799905</v>
      </c>
      <c r="D78" s="38"/>
      <c r="E78" s="38">
        <f>SUM(E79,E80)</f>
        <v>7799905</v>
      </c>
      <c r="F78" s="38">
        <f>SUM(F79,F80)</f>
        <v>7799905</v>
      </c>
    </row>
    <row r="79" spans="1:6" s="30" customFormat="1" ht="48" x14ac:dyDescent="0.25">
      <c r="A79" s="35">
        <v>33010100</v>
      </c>
      <c r="B79" s="70" t="s">
        <v>535</v>
      </c>
      <c r="C79" s="33">
        <f t="shared" si="0"/>
        <v>4085990</v>
      </c>
      <c r="D79" s="38"/>
      <c r="E79" s="38">
        <v>4085990</v>
      </c>
      <c r="F79" s="38">
        <v>4085990</v>
      </c>
    </row>
    <row r="80" spans="1:6" s="30" customFormat="1" ht="48" x14ac:dyDescent="0.25">
      <c r="A80" s="35">
        <v>33010200</v>
      </c>
      <c r="B80" s="70" t="s">
        <v>160</v>
      </c>
      <c r="C80" s="33">
        <f t="shared" ref="C80:C114" si="1">SUM(D80,E80)</f>
        <v>3713915</v>
      </c>
      <c r="D80" s="38"/>
      <c r="E80" s="38">
        <v>3713915</v>
      </c>
      <c r="F80" s="38">
        <v>3713915</v>
      </c>
    </row>
    <row r="81" spans="1:6" s="30" customFormat="1" ht="53.45" customHeight="1" x14ac:dyDescent="0.25">
      <c r="A81" s="31">
        <v>50110000</v>
      </c>
      <c r="B81" s="71" t="s">
        <v>161</v>
      </c>
      <c r="C81" s="33">
        <v>4462100</v>
      </c>
      <c r="D81" s="38"/>
      <c r="E81" s="33">
        <v>4462100</v>
      </c>
      <c r="F81" s="38"/>
    </row>
    <row r="82" spans="1:6" s="34" customFormat="1" ht="18.75" x14ac:dyDescent="0.2">
      <c r="A82" s="31"/>
      <c r="B82" s="72" t="s">
        <v>743</v>
      </c>
      <c r="C82" s="33">
        <f t="shared" si="1"/>
        <v>1984010179.6700001</v>
      </c>
      <c r="D82" s="45">
        <f>D10+D44+D73</f>
        <v>1827352217.6700001</v>
      </c>
      <c r="E82" s="45">
        <f>E10+E44+E73+E81</f>
        <v>156657962</v>
      </c>
      <c r="F82" s="45">
        <f>F10+F44+F64+F73</f>
        <v>30875632</v>
      </c>
    </row>
    <row r="83" spans="1:6" s="34" customFormat="1" ht="18.75" x14ac:dyDescent="0.2">
      <c r="A83" s="31">
        <v>4000000</v>
      </c>
      <c r="B83" s="72" t="s">
        <v>744</v>
      </c>
      <c r="C83" s="33">
        <v>1212023653</v>
      </c>
      <c r="D83" s="45">
        <f>SUM(D84,D86)</f>
        <v>1191678867.48</v>
      </c>
      <c r="E83" s="45">
        <v>568540</v>
      </c>
      <c r="F83" s="45">
        <v>568540</v>
      </c>
    </row>
    <row r="84" spans="1:6" s="34" customFormat="1" ht="31.5" x14ac:dyDescent="0.2">
      <c r="A84" s="31">
        <v>41040000</v>
      </c>
      <c r="B84" s="130" t="s">
        <v>538</v>
      </c>
      <c r="C84" s="33">
        <v>17381620</v>
      </c>
      <c r="D84" s="45">
        <v>17381620</v>
      </c>
      <c r="E84" s="45"/>
      <c r="F84" s="45"/>
    </row>
    <row r="85" spans="1:6" s="34" customFormat="1" ht="78.75" customHeight="1" x14ac:dyDescent="0.2">
      <c r="A85" s="35">
        <v>41040200</v>
      </c>
      <c r="B85" s="131" t="s">
        <v>537</v>
      </c>
      <c r="C85" s="33">
        <v>17381620</v>
      </c>
      <c r="D85" s="45">
        <v>17381620</v>
      </c>
      <c r="E85" s="45"/>
      <c r="F85" s="45"/>
    </row>
    <row r="86" spans="1:6" s="34" customFormat="1" ht="14.25" x14ac:dyDescent="0.2">
      <c r="A86" s="31">
        <v>40000000</v>
      </c>
      <c r="B86" s="51" t="s">
        <v>162</v>
      </c>
      <c r="C86" s="33">
        <f t="shared" si="1"/>
        <v>1174865787.48</v>
      </c>
      <c r="D86" s="45">
        <f>SUM(D87,D92)</f>
        <v>1174297247.48</v>
      </c>
      <c r="E86" s="45">
        <f>SUM(E87,E92)</f>
        <v>568540</v>
      </c>
      <c r="F86" s="33">
        <v>568540</v>
      </c>
    </row>
    <row r="87" spans="1:6" s="34" customFormat="1" ht="28.5" x14ac:dyDescent="0.2">
      <c r="A87" s="31">
        <v>4103000</v>
      </c>
      <c r="B87" s="51" t="s">
        <v>957</v>
      </c>
      <c r="C87" s="33">
        <v>614218800</v>
      </c>
      <c r="D87" s="45">
        <f>SUM(D88:D91)</f>
        <v>614218800</v>
      </c>
      <c r="E87" s="45"/>
      <c r="F87" s="33"/>
    </row>
    <row r="88" spans="1:6" s="34" customFormat="1" ht="25.5" x14ac:dyDescent="0.2">
      <c r="A88" s="35">
        <v>41033900</v>
      </c>
      <c r="B88" s="61" t="s">
        <v>163</v>
      </c>
      <c r="C88" s="33">
        <f t="shared" si="1"/>
        <v>368264000</v>
      </c>
      <c r="D88" s="38">
        <v>368264000</v>
      </c>
      <c r="E88" s="33"/>
      <c r="F88" s="33"/>
    </row>
    <row r="89" spans="1:6" s="34" customFormat="1" ht="25.5" x14ac:dyDescent="0.2">
      <c r="A89" s="35">
        <v>41034200</v>
      </c>
      <c r="B89" s="61" t="s">
        <v>164</v>
      </c>
      <c r="C89" s="33">
        <f t="shared" si="1"/>
        <v>192216800</v>
      </c>
      <c r="D89" s="38">
        <v>192216800</v>
      </c>
      <c r="E89" s="33"/>
      <c r="F89" s="33"/>
    </row>
    <row r="90" spans="1:6" s="34" customFormat="1" ht="42" customHeight="1" x14ac:dyDescent="0.2">
      <c r="A90" s="35">
        <v>41034500</v>
      </c>
      <c r="B90" s="61" t="s">
        <v>801</v>
      </c>
      <c r="C90" s="33">
        <v>26738000</v>
      </c>
      <c r="D90" s="38">
        <v>26738000</v>
      </c>
      <c r="E90" s="33"/>
      <c r="F90" s="33"/>
    </row>
    <row r="91" spans="1:6" s="34" customFormat="1" ht="66.75" customHeight="1" x14ac:dyDescent="0.2">
      <c r="A91" s="35">
        <v>41037400</v>
      </c>
      <c r="B91" s="61" t="s">
        <v>953</v>
      </c>
      <c r="C91" s="33">
        <v>27000000</v>
      </c>
      <c r="D91" s="38">
        <v>27000000</v>
      </c>
      <c r="E91" s="33"/>
      <c r="F91" s="33"/>
    </row>
    <row r="92" spans="1:6" s="34" customFormat="1" ht="42" customHeight="1" x14ac:dyDescent="0.2">
      <c r="A92" s="31">
        <v>41050000</v>
      </c>
      <c r="B92" s="36" t="s">
        <v>958</v>
      </c>
      <c r="C92" s="33">
        <v>560646987.48000002</v>
      </c>
      <c r="D92" s="33">
        <f xml:space="preserve"> SUM(D93:D106,D113)</f>
        <v>560078447.48000002</v>
      </c>
      <c r="E92" s="33">
        <v>568540</v>
      </c>
      <c r="F92" s="33">
        <v>568540</v>
      </c>
    </row>
    <row r="93" spans="1:6" s="34" customFormat="1" ht="120" customHeight="1" x14ac:dyDescent="0.2">
      <c r="A93" s="35">
        <v>41050100</v>
      </c>
      <c r="B93" s="61" t="s">
        <v>490</v>
      </c>
      <c r="C93" s="33">
        <v>148654200</v>
      </c>
      <c r="D93" s="38">
        <v>148654200</v>
      </c>
      <c r="E93" s="33"/>
      <c r="F93" s="33"/>
    </row>
    <row r="94" spans="1:6" s="34" customFormat="1" ht="78.75" customHeight="1" x14ac:dyDescent="0.2">
      <c r="A94" s="35">
        <v>41050200</v>
      </c>
      <c r="B94" s="61" t="s">
        <v>491</v>
      </c>
      <c r="C94" s="33">
        <v>49300</v>
      </c>
      <c r="D94" s="38">
        <v>49300</v>
      </c>
      <c r="E94" s="33"/>
      <c r="F94" s="33"/>
    </row>
    <row r="95" spans="1:6" s="34" customFormat="1" ht="196.5" customHeight="1" x14ac:dyDescent="0.2">
      <c r="A95" s="35">
        <v>41050300</v>
      </c>
      <c r="B95" s="61" t="s">
        <v>489</v>
      </c>
      <c r="C95" s="33">
        <v>354029500</v>
      </c>
      <c r="D95" s="38">
        <v>354029500</v>
      </c>
      <c r="E95" s="33"/>
      <c r="F95" s="33"/>
    </row>
    <row r="96" spans="1:6" s="34" customFormat="1" ht="259.5" customHeight="1" x14ac:dyDescent="0.2">
      <c r="A96" s="35">
        <v>41050400</v>
      </c>
      <c r="B96" s="61" t="s">
        <v>954</v>
      </c>
      <c r="C96" s="33">
        <v>5371203.1200000001</v>
      </c>
      <c r="D96" s="38">
        <v>5371203.1200000001</v>
      </c>
      <c r="E96" s="33"/>
      <c r="F96" s="33"/>
    </row>
    <row r="97" spans="1:6" s="34" customFormat="1" ht="241.5" customHeight="1" x14ac:dyDescent="0.2">
      <c r="A97" s="35">
        <v>41050500</v>
      </c>
      <c r="B97" s="61" t="s">
        <v>955</v>
      </c>
      <c r="C97" s="33">
        <v>7952988.3600000003</v>
      </c>
      <c r="D97" s="38">
        <v>7952988.3600000003</v>
      </c>
      <c r="E97" s="33"/>
      <c r="F97" s="33"/>
    </row>
    <row r="98" spans="1:6" s="34" customFormat="1" ht="168" customHeight="1" x14ac:dyDescent="0.2">
      <c r="A98" s="35">
        <v>41050700</v>
      </c>
      <c r="B98" s="61" t="s">
        <v>492</v>
      </c>
      <c r="C98" s="33">
        <v>1030700</v>
      </c>
      <c r="D98" s="38">
        <v>1030700</v>
      </c>
      <c r="E98" s="33"/>
      <c r="F98" s="33"/>
    </row>
    <row r="99" spans="1:6" s="34" customFormat="1" ht="101.25" customHeight="1" x14ac:dyDescent="0.2">
      <c r="A99" s="35">
        <v>41050900</v>
      </c>
      <c r="B99" s="61" t="s">
        <v>978</v>
      </c>
      <c r="C99" s="33">
        <v>530290</v>
      </c>
      <c r="D99" s="38">
        <v>530290</v>
      </c>
      <c r="E99" s="33"/>
      <c r="F99" s="33"/>
    </row>
    <row r="100" spans="1:6" s="34" customFormat="1" ht="38.25" x14ac:dyDescent="0.2">
      <c r="A100" s="35">
        <v>41051000</v>
      </c>
      <c r="B100" s="61" t="s">
        <v>979</v>
      </c>
      <c r="C100" s="33">
        <v>2648243</v>
      </c>
      <c r="D100" s="38">
        <v>2648243</v>
      </c>
      <c r="E100" s="33"/>
      <c r="F100" s="33"/>
    </row>
    <row r="101" spans="1:6" s="34" customFormat="1" ht="63.75" x14ac:dyDescent="0.2">
      <c r="A101" s="35">
        <v>41051200</v>
      </c>
      <c r="B101" s="61" t="s">
        <v>785</v>
      </c>
      <c r="C101" s="33">
        <v>4900281</v>
      </c>
      <c r="D101" s="38">
        <v>4900281</v>
      </c>
      <c r="E101" s="33"/>
      <c r="F101" s="33"/>
    </row>
    <row r="102" spans="1:6" s="34" customFormat="1" ht="51" x14ac:dyDescent="0.2">
      <c r="A102" s="35">
        <v>41051400</v>
      </c>
      <c r="B102" s="61" t="s">
        <v>891</v>
      </c>
      <c r="C102" s="33">
        <v>4877626</v>
      </c>
      <c r="D102" s="38">
        <v>4877626</v>
      </c>
      <c r="E102" s="33"/>
      <c r="F102" s="33"/>
    </row>
    <row r="103" spans="1:6" s="34" customFormat="1" ht="49.7" customHeight="1" x14ac:dyDescent="0.2">
      <c r="A103" s="31">
        <v>41051500</v>
      </c>
      <c r="B103" s="61" t="s">
        <v>772</v>
      </c>
      <c r="C103" s="33">
        <f t="shared" si="1"/>
        <v>15778616</v>
      </c>
      <c r="D103" s="38">
        <v>15778616</v>
      </c>
      <c r="E103" s="33"/>
      <c r="F103" s="33"/>
    </row>
    <row r="104" spans="1:6" s="34" customFormat="1" ht="42.75" customHeight="1" x14ac:dyDescent="0.2">
      <c r="A104" s="31">
        <v>41051600</v>
      </c>
      <c r="B104" s="61" t="s">
        <v>802</v>
      </c>
      <c r="C104" s="33">
        <f t="shared" si="1"/>
        <v>1310000</v>
      </c>
      <c r="D104" s="38">
        <v>1310000</v>
      </c>
      <c r="E104" s="33"/>
      <c r="F104" s="33"/>
    </row>
    <row r="105" spans="1:6" s="34" customFormat="1" ht="58.7" customHeight="1" x14ac:dyDescent="0.2">
      <c r="A105" s="31">
        <v>41052000</v>
      </c>
      <c r="B105" s="61" t="s">
        <v>773</v>
      </c>
      <c r="C105" s="33">
        <f t="shared" si="1"/>
        <v>1734200</v>
      </c>
      <c r="D105" s="38">
        <v>1734200</v>
      </c>
      <c r="E105" s="33"/>
      <c r="F105" s="33"/>
    </row>
    <row r="106" spans="1:6" s="34" customFormat="1" ht="17.45" customHeight="1" x14ac:dyDescent="0.2">
      <c r="A106" s="31">
        <v>41053900</v>
      </c>
      <c r="B106" s="73" t="s">
        <v>536</v>
      </c>
      <c r="C106" s="33">
        <f t="shared" si="1"/>
        <v>4535602</v>
      </c>
      <c r="D106" s="45">
        <f>SUM(D107:D112)</f>
        <v>3967062</v>
      </c>
      <c r="E106" s="33">
        <v>568540</v>
      </c>
      <c r="F106" s="33">
        <v>568540</v>
      </c>
    </row>
    <row r="107" spans="1:6" s="34" customFormat="1" ht="24" x14ac:dyDescent="0.2">
      <c r="A107" s="31"/>
      <c r="B107" s="74" t="s">
        <v>165</v>
      </c>
      <c r="C107" s="33">
        <f t="shared" si="1"/>
        <v>179080</v>
      </c>
      <c r="D107" s="38">
        <v>179080</v>
      </c>
      <c r="E107" s="33"/>
      <c r="F107" s="33"/>
    </row>
    <row r="108" spans="1:6" s="34" customFormat="1" ht="36" x14ac:dyDescent="0.2">
      <c r="A108" s="31"/>
      <c r="B108" s="74" t="s">
        <v>166</v>
      </c>
      <c r="C108" s="33">
        <f t="shared" si="1"/>
        <v>135534</v>
      </c>
      <c r="D108" s="38">
        <v>135534</v>
      </c>
      <c r="E108" s="33"/>
      <c r="F108" s="33"/>
    </row>
    <row r="109" spans="1:6" s="50" customFormat="1" ht="24" x14ac:dyDescent="0.2">
      <c r="A109" s="31"/>
      <c r="B109" s="74" t="s">
        <v>167</v>
      </c>
      <c r="C109" s="33">
        <f t="shared" si="1"/>
        <v>168</v>
      </c>
      <c r="D109" s="38">
        <v>168</v>
      </c>
      <c r="E109" s="33"/>
      <c r="F109" s="33"/>
    </row>
    <row r="110" spans="1:6" ht="24" x14ac:dyDescent="0.2">
      <c r="A110" s="31"/>
      <c r="B110" s="74" t="s">
        <v>168</v>
      </c>
      <c r="C110" s="33">
        <f t="shared" si="1"/>
        <v>152280</v>
      </c>
      <c r="D110" s="38">
        <v>152280</v>
      </c>
      <c r="E110" s="33"/>
      <c r="F110" s="33"/>
    </row>
    <row r="111" spans="1:6" ht="15" x14ac:dyDescent="0.2">
      <c r="A111" s="31"/>
      <c r="B111" s="74" t="s">
        <v>959</v>
      </c>
      <c r="C111" s="33">
        <f t="shared" si="1"/>
        <v>568540</v>
      </c>
      <c r="D111" s="38">
        <v>0</v>
      </c>
      <c r="E111" s="33">
        <v>568540</v>
      </c>
      <c r="F111" s="33">
        <v>568540</v>
      </c>
    </row>
    <row r="112" spans="1:6" ht="24" x14ac:dyDescent="0.2">
      <c r="A112" s="31"/>
      <c r="B112" s="74" t="s">
        <v>784</v>
      </c>
      <c r="C112" s="33">
        <f t="shared" si="1"/>
        <v>3500000</v>
      </c>
      <c r="D112" s="38">
        <v>3500000</v>
      </c>
      <c r="E112" s="33"/>
      <c r="F112" s="33"/>
    </row>
    <row r="113" spans="1:6" s="305" customFormat="1" ht="51" x14ac:dyDescent="0.2">
      <c r="A113" s="29">
        <v>41054300</v>
      </c>
      <c r="B113" s="85" t="s">
        <v>956</v>
      </c>
      <c r="C113" s="37">
        <f t="shared" si="1"/>
        <v>7244238</v>
      </c>
      <c r="D113" s="49">
        <v>7244238</v>
      </c>
      <c r="E113" s="37"/>
      <c r="F113" s="37"/>
    </row>
    <row r="114" spans="1:6" s="77" customFormat="1" ht="20.25" x14ac:dyDescent="0.25">
      <c r="A114" s="75"/>
      <c r="B114" s="76" t="s">
        <v>169</v>
      </c>
      <c r="C114" s="33">
        <f t="shared" si="1"/>
        <v>3176257587.1500001</v>
      </c>
      <c r="D114" s="45">
        <f>SUM(D82,D84,D86)</f>
        <v>3019031085.1500001</v>
      </c>
      <c r="E114" s="45">
        <f>SUM(E82,E86)</f>
        <v>157226502</v>
      </c>
      <c r="F114" s="45">
        <f>SUM(F82,F86)</f>
        <v>31444172</v>
      </c>
    </row>
    <row r="116" spans="1:6" ht="15" customHeight="1" x14ac:dyDescent="0.25">
      <c r="B116" s="175" t="s">
        <v>980</v>
      </c>
      <c r="E116" s="175" t="s">
        <v>981</v>
      </c>
    </row>
    <row r="117" spans="1:6" ht="1.5" hidden="1" customHeight="1" x14ac:dyDescent="0.25">
      <c r="B117" s="175"/>
      <c r="E117" s="175"/>
    </row>
    <row r="118" spans="1:6" ht="15.75" x14ac:dyDescent="0.25">
      <c r="A118" s="77"/>
      <c r="B118" s="175"/>
      <c r="C118" s="175"/>
      <c r="D118" s="175"/>
      <c r="E118" s="175"/>
      <c r="F118" s="77"/>
    </row>
    <row r="120" spans="1:6" x14ac:dyDescent="0.2">
      <c r="D120" s="78"/>
    </row>
    <row r="121" spans="1:6" x14ac:dyDescent="0.2">
      <c r="D121" s="79"/>
    </row>
    <row r="164" spans="5:5" ht="18.75" x14ac:dyDescent="0.3">
      <c r="E164" s="110"/>
    </row>
  </sheetData>
  <mergeCells count="10">
    <mergeCell ref="D1:G1"/>
    <mergeCell ref="D2:G2"/>
    <mergeCell ref="D3:G3"/>
    <mergeCell ref="A4:E4"/>
    <mergeCell ref="A5:E5"/>
    <mergeCell ref="A7:A8"/>
    <mergeCell ref="B7:B8"/>
    <mergeCell ref="C7:C8"/>
    <mergeCell ref="D7:D8"/>
    <mergeCell ref="E7:F7"/>
  </mergeCells>
  <hyperlinks>
    <hyperlink ref="B74" location="_ftn1" display="_ftn1"/>
    <hyperlink ref="B73" location="_ftn1" display="_ftn1"/>
    <hyperlink ref="B59" location="_ftn1" display="_ftn1"/>
    <hyperlink ref="B15" location="_ftn1" display="_ftn1"/>
    <hyperlink ref="B14" location="_ftn1" display="_ftn1"/>
    <hyperlink ref="B42" location="_ftn1" display="_ftn1"/>
    <hyperlink ref="B77" location="_ftn1" display="_ftn1"/>
    <hyperlink ref="B78" location="_ftn1" display="_ftn1"/>
    <hyperlink ref="B47" location="_ftn1" display="_ftn1"/>
    <hyperlink ref="B48" location="_ftn1" display="_ftn1"/>
  </hyperlinks>
  <printOptions horizontalCentered="1"/>
  <pageMargins left="0.35433070866141736" right="0.15748031496062992" top="0.59055118110236227" bottom="0.51181102362204722" header="0.51181102362204722" footer="0.51181102362204722"/>
  <pageSetup paperSize="9" scale="85"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
  <dimension ref="A1:Q38"/>
  <sheetViews>
    <sheetView view="pageBreakPreview" topLeftCell="A22" zoomScaleSheetLayoutView="100" workbookViewId="0">
      <selection activeCell="D47" sqref="D47"/>
    </sheetView>
  </sheetViews>
  <sheetFormatPr defaultColWidth="9.140625" defaultRowHeight="12.75" x14ac:dyDescent="0.2"/>
  <cols>
    <col min="1" max="1" width="9.7109375" style="211" customWidth="1"/>
    <col min="2" max="3" width="22.140625" style="211" customWidth="1"/>
    <col min="4" max="4" width="14.140625" style="211" customWidth="1"/>
    <col min="5" max="5" width="14" style="211" customWidth="1"/>
    <col min="6" max="6" width="15.42578125" style="211" customWidth="1"/>
    <col min="7" max="7" width="15.140625" style="211" customWidth="1"/>
    <col min="8" max="8" width="16.42578125" style="211" customWidth="1"/>
    <col min="9" max="9" width="8.28515625" style="211" customWidth="1"/>
    <col min="10" max="10" width="9.140625" style="211"/>
    <col min="11" max="11" width="9.7109375" style="211" customWidth="1"/>
    <col min="12" max="12" width="9.140625" style="211"/>
    <col min="13" max="13" width="8.140625" style="211" customWidth="1"/>
    <col min="14" max="16384" width="9.140625" style="211"/>
  </cols>
  <sheetData>
    <row r="1" spans="1:17" x14ac:dyDescent="0.2">
      <c r="F1" s="80" t="s">
        <v>170</v>
      </c>
    </row>
    <row r="2" spans="1:17" x14ac:dyDescent="0.2">
      <c r="F2" s="80" t="s">
        <v>171</v>
      </c>
    </row>
    <row r="3" spans="1:17" x14ac:dyDescent="0.2">
      <c r="F3" s="80" t="s">
        <v>172</v>
      </c>
    </row>
    <row r="5" spans="1:17" ht="18.75" x14ac:dyDescent="0.3">
      <c r="A5" s="446" t="s">
        <v>645</v>
      </c>
      <c r="B5" s="446"/>
      <c r="C5" s="446"/>
      <c r="D5" s="446"/>
      <c r="E5" s="446"/>
      <c r="F5" s="446"/>
    </row>
    <row r="6" spans="1:17" ht="18.75" x14ac:dyDescent="0.3">
      <c r="A6" s="209"/>
      <c r="B6" s="209"/>
      <c r="C6" s="209"/>
      <c r="D6" s="209"/>
      <c r="E6" s="209"/>
      <c r="F6" s="209"/>
    </row>
    <row r="7" spans="1:17" x14ac:dyDescent="0.2">
      <c r="F7" s="177" t="s">
        <v>647</v>
      </c>
    </row>
    <row r="8" spans="1:17" x14ac:dyDescent="0.2">
      <c r="A8" s="447" t="s">
        <v>94</v>
      </c>
      <c r="B8" s="447" t="s">
        <v>637</v>
      </c>
      <c r="C8" s="447" t="s">
        <v>642</v>
      </c>
      <c r="D8" s="448" t="s">
        <v>25</v>
      </c>
      <c r="E8" s="447" t="s">
        <v>84</v>
      </c>
      <c r="F8" s="447"/>
    </row>
    <row r="9" spans="1:17" ht="35.450000000000003" customHeight="1" x14ac:dyDescent="0.2">
      <c r="A9" s="447"/>
      <c r="B9" s="447"/>
      <c r="C9" s="447"/>
      <c r="D9" s="449"/>
      <c r="E9" s="210" t="s">
        <v>643</v>
      </c>
      <c r="F9" s="210" t="s">
        <v>644</v>
      </c>
    </row>
    <row r="10" spans="1:17" x14ac:dyDescent="0.2">
      <c r="A10" s="81">
        <v>1</v>
      </c>
      <c r="B10" s="81">
        <v>2</v>
      </c>
      <c r="C10" s="81">
        <v>3</v>
      </c>
      <c r="D10" s="81">
        <v>4</v>
      </c>
      <c r="E10" s="81">
        <v>5</v>
      </c>
      <c r="F10" s="81">
        <v>6</v>
      </c>
    </row>
    <row r="11" spans="1:17" ht="23.25" customHeight="1" x14ac:dyDescent="0.2">
      <c r="A11" s="441" t="s">
        <v>638</v>
      </c>
      <c r="B11" s="442"/>
      <c r="C11" s="81"/>
      <c r="D11" s="81"/>
      <c r="E11" s="82"/>
      <c r="F11" s="82"/>
    </row>
    <row r="12" spans="1:17" x14ac:dyDescent="0.2">
      <c r="A12" s="83" t="s">
        <v>173</v>
      </c>
      <c r="B12" s="83" t="s">
        <v>174</v>
      </c>
      <c r="C12" s="83">
        <f>D12+E12</f>
        <v>85903475.610000014</v>
      </c>
      <c r="D12" s="83">
        <f>D13+D15</f>
        <v>-269617813.63</v>
      </c>
      <c r="E12" s="83">
        <f>E13+E15</f>
        <v>355521289.24000001</v>
      </c>
      <c r="F12" s="83">
        <f>F13+F15</f>
        <v>354452336.75999999</v>
      </c>
      <c r="G12" s="212"/>
      <c r="H12" s="212"/>
      <c r="I12" s="212"/>
      <c r="J12" s="212"/>
      <c r="K12" s="212"/>
      <c r="L12" s="212"/>
      <c r="M12" s="212"/>
      <c r="N12" s="212"/>
      <c r="O12" s="212"/>
      <c r="P12" s="212"/>
      <c r="Q12" s="212"/>
    </row>
    <row r="13" spans="1:17" ht="16.5" customHeight="1" x14ac:dyDescent="0.2">
      <c r="A13" s="84" t="s">
        <v>175</v>
      </c>
      <c r="B13" s="84" t="s">
        <v>176</v>
      </c>
      <c r="C13" s="213">
        <f>D13+E13</f>
        <v>85903475.609999999</v>
      </c>
      <c r="D13" s="213">
        <v>82864310.260000005</v>
      </c>
      <c r="E13" s="213">
        <f>3039165.35</f>
        <v>3039165.35</v>
      </c>
      <c r="F13" s="213">
        <v>1970212.87</v>
      </c>
      <c r="G13" s="212"/>
      <c r="H13" s="212"/>
      <c r="I13" s="212"/>
      <c r="J13" s="212"/>
      <c r="K13" s="212"/>
      <c r="L13" s="212"/>
      <c r="M13" s="212"/>
      <c r="N13" s="212"/>
      <c r="O13" s="212"/>
      <c r="P13" s="212"/>
      <c r="Q13" s="212"/>
    </row>
    <row r="14" spans="1:17" ht="18.75" hidden="1" customHeight="1" x14ac:dyDescent="0.2">
      <c r="A14" s="84">
        <v>208200</v>
      </c>
      <c r="B14" s="84" t="s">
        <v>177</v>
      </c>
      <c r="C14" s="213">
        <f>D14+E14</f>
        <v>0</v>
      </c>
      <c r="D14" s="213"/>
      <c r="E14" s="213"/>
      <c r="F14" s="83"/>
      <c r="G14" s="212"/>
      <c r="H14" s="212"/>
      <c r="I14" s="212"/>
      <c r="J14" s="212"/>
      <c r="K14" s="212"/>
      <c r="L14" s="212"/>
      <c r="M14" s="212"/>
      <c r="N14" s="212"/>
      <c r="O14" s="212"/>
      <c r="P14" s="212"/>
      <c r="Q14" s="212"/>
    </row>
    <row r="15" spans="1:17" ht="51" x14ac:dyDescent="0.2">
      <c r="A15" s="84">
        <v>208400</v>
      </c>
      <c r="B15" s="85" t="s">
        <v>178</v>
      </c>
      <c r="C15" s="83">
        <f>D15+E15</f>
        <v>0</v>
      </c>
      <c r="D15" s="83">
        <v>-352482123.88999999</v>
      </c>
      <c r="E15" s="83">
        <v>352482123.88999999</v>
      </c>
      <c r="F15" s="83">
        <v>352482123.88999999</v>
      </c>
      <c r="G15" s="212"/>
      <c r="H15" s="212"/>
      <c r="I15" s="212"/>
      <c r="J15" s="212"/>
      <c r="K15" s="212"/>
      <c r="L15" s="212"/>
      <c r="M15" s="212"/>
      <c r="N15" s="212"/>
      <c r="O15" s="212"/>
      <c r="P15" s="212"/>
      <c r="Q15" s="212"/>
    </row>
    <row r="16" spans="1:17" x14ac:dyDescent="0.2">
      <c r="A16" s="132">
        <v>300000</v>
      </c>
      <c r="B16" s="111" t="s">
        <v>571</v>
      </c>
      <c r="C16" s="83">
        <v>-2128333</v>
      </c>
      <c r="D16" s="83">
        <v>0</v>
      </c>
      <c r="E16" s="83">
        <v>-2128333</v>
      </c>
      <c r="F16" s="83">
        <v>-2128333</v>
      </c>
      <c r="G16" s="212"/>
      <c r="H16" s="212"/>
      <c r="I16" s="212"/>
      <c r="J16" s="212"/>
      <c r="K16" s="212"/>
      <c r="L16" s="212"/>
      <c r="M16" s="212"/>
      <c r="N16" s="212"/>
      <c r="O16" s="212"/>
      <c r="P16" s="212"/>
      <c r="Q16" s="212"/>
    </row>
    <row r="17" spans="1:17" ht="38.25" x14ac:dyDescent="0.2">
      <c r="A17" s="132">
        <v>301000</v>
      </c>
      <c r="B17" s="111" t="s">
        <v>572</v>
      </c>
      <c r="C17" s="83">
        <v>-2128333</v>
      </c>
      <c r="D17" s="83">
        <v>0</v>
      </c>
      <c r="E17" s="83">
        <v>-2128333</v>
      </c>
      <c r="F17" s="83">
        <v>-2128333</v>
      </c>
      <c r="G17" s="212"/>
      <c r="H17" s="212"/>
      <c r="I17" s="212"/>
      <c r="J17" s="212"/>
      <c r="K17" s="212"/>
      <c r="L17" s="212"/>
      <c r="M17" s="212"/>
      <c r="N17" s="212"/>
      <c r="O17" s="212"/>
      <c r="P17" s="212"/>
      <c r="Q17" s="212"/>
    </row>
    <row r="18" spans="1:17" x14ac:dyDescent="0.2">
      <c r="A18" s="84">
        <v>301100</v>
      </c>
      <c r="B18" s="85" t="s">
        <v>573</v>
      </c>
      <c r="C18" s="83">
        <v>1183975</v>
      </c>
      <c r="D18" s="83"/>
      <c r="E18" s="83">
        <v>1183975</v>
      </c>
      <c r="F18" s="83">
        <v>1183975</v>
      </c>
      <c r="G18" s="212"/>
      <c r="H18" s="212"/>
      <c r="I18" s="212"/>
      <c r="J18" s="212"/>
      <c r="K18" s="212"/>
      <c r="L18" s="212"/>
      <c r="M18" s="212"/>
      <c r="N18" s="212"/>
      <c r="O18" s="212"/>
      <c r="P18" s="212"/>
      <c r="Q18" s="212"/>
    </row>
    <row r="19" spans="1:17" x14ac:dyDescent="0.2">
      <c r="A19" s="84">
        <v>301200</v>
      </c>
      <c r="B19" s="85" t="s">
        <v>574</v>
      </c>
      <c r="C19" s="83">
        <v>-3312308</v>
      </c>
      <c r="D19" s="83"/>
      <c r="E19" s="83">
        <v>-3312308</v>
      </c>
      <c r="F19" s="83">
        <v>-3312308</v>
      </c>
      <c r="G19" s="212"/>
      <c r="H19" s="212"/>
      <c r="I19" s="212"/>
      <c r="J19" s="212"/>
      <c r="K19" s="212"/>
      <c r="L19" s="212"/>
      <c r="M19" s="212"/>
      <c r="N19" s="212"/>
      <c r="O19" s="212"/>
      <c r="P19" s="212"/>
      <c r="Q19" s="212"/>
    </row>
    <row r="20" spans="1:17" x14ac:dyDescent="0.2">
      <c r="A20" s="132" t="s">
        <v>640</v>
      </c>
      <c r="B20" s="111" t="s">
        <v>639</v>
      </c>
      <c r="C20" s="83"/>
      <c r="D20" s="83"/>
      <c r="E20" s="83">
        <v>-2128333</v>
      </c>
      <c r="F20" s="83">
        <v>-2128333</v>
      </c>
      <c r="G20" s="212"/>
      <c r="H20" s="212"/>
      <c r="I20" s="212"/>
      <c r="J20" s="212"/>
      <c r="K20" s="212"/>
      <c r="L20" s="212"/>
      <c r="M20" s="212"/>
      <c r="N20" s="212"/>
      <c r="O20" s="212"/>
      <c r="P20" s="212"/>
      <c r="Q20" s="212"/>
    </row>
    <row r="21" spans="1:17" ht="35.450000000000003" customHeight="1" x14ac:dyDescent="0.2">
      <c r="A21" s="441" t="s">
        <v>641</v>
      </c>
      <c r="B21" s="443"/>
      <c r="C21" s="83"/>
      <c r="D21" s="83"/>
      <c r="E21" s="83"/>
      <c r="F21" s="83"/>
      <c r="G21" s="212"/>
      <c r="H21" s="212"/>
      <c r="I21" s="212"/>
      <c r="J21" s="212"/>
      <c r="K21" s="212"/>
      <c r="L21" s="212"/>
      <c r="M21" s="212"/>
      <c r="N21" s="212"/>
      <c r="O21" s="212"/>
      <c r="P21" s="212"/>
      <c r="Q21" s="212"/>
    </row>
    <row r="22" spans="1:17" ht="25.5" x14ac:dyDescent="0.2">
      <c r="A22" s="132">
        <v>400000</v>
      </c>
      <c r="B22" s="111" t="s">
        <v>179</v>
      </c>
      <c r="C22" s="83">
        <v>-2128333</v>
      </c>
      <c r="D22" s="83"/>
      <c r="E22" s="83">
        <v>-2128333</v>
      </c>
      <c r="F22" s="83">
        <v>-2128333</v>
      </c>
      <c r="G22" s="212"/>
      <c r="H22" s="212"/>
      <c r="I22" s="212"/>
      <c r="J22" s="212"/>
      <c r="K22" s="212"/>
      <c r="L22" s="212"/>
      <c r="M22" s="212"/>
      <c r="N22" s="212"/>
      <c r="O22" s="212"/>
      <c r="P22" s="212"/>
      <c r="Q22" s="212"/>
    </row>
    <row r="23" spans="1:17" x14ac:dyDescent="0.2">
      <c r="A23" s="132">
        <v>401000</v>
      </c>
      <c r="B23" s="111" t="s">
        <v>180</v>
      </c>
      <c r="C23" s="83">
        <v>1183975</v>
      </c>
      <c r="D23" s="83"/>
      <c r="E23" s="83">
        <v>1183975</v>
      </c>
      <c r="F23" s="83">
        <v>1183975</v>
      </c>
      <c r="G23" s="212"/>
      <c r="H23" s="212"/>
      <c r="I23" s="212"/>
      <c r="J23" s="212"/>
      <c r="K23" s="212"/>
      <c r="L23" s="212"/>
      <c r="M23" s="212"/>
      <c r="N23" s="212"/>
      <c r="O23" s="212"/>
      <c r="P23" s="212"/>
      <c r="Q23" s="212"/>
    </row>
    <row r="24" spans="1:17" s="2" customFormat="1" x14ac:dyDescent="0.2">
      <c r="A24" s="132">
        <v>401200</v>
      </c>
      <c r="B24" s="111" t="s">
        <v>575</v>
      </c>
      <c r="C24" s="83">
        <v>1183975</v>
      </c>
      <c r="D24" s="83"/>
      <c r="E24" s="83">
        <v>1183975</v>
      </c>
      <c r="F24" s="83">
        <v>1183975</v>
      </c>
      <c r="G24" s="133"/>
      <c r="H24" s="133"/>
      <c r="I24" s="133"/>
      <c r="J24" s="133"/>
      <c r="K24" s="133"/>
      <c r="L24" s="133"/>
      <c r="M24" s="133"/>
      <c r="N24" s="133"/>
      <c r="O24" s="133"/>
      <c r="P24" s="133"/>
      <c r="Q24" s="133"/>
    </row>
    <row r="25" spans="1:17" ht="25.5" x14ac:dyDescent="0.2">
      <c r="A25" s="84">
        <v>401202</v>
      </c>
      <c r="B25" s="85" t="s">
        <v>576</v>
      </c>
      <c r="C25" s="213">
        <v>1183975</v>
      </c>
      <c r="D25" s="83"/>
      <c r="E25" s="213">
        <v>1183975</v>
      </c>
      <c r="F25" s="213">
        <v>1183975</v>
      </c>
      <c r="G25" s="212"/>
      <c r="H25" s="212"/>
      <c r="I25" s="212"/>
      <c r="J25" s="212"/>
      <c r="K25" s="212"/>
      <c r="L25" s="212"/>
      <c r="M25" s="212"/>
      <c r="N25" s="212"/>
      <c r="O25" s="212"/>
      <c r="P25" s="212"/>
      <c r="Q25" s="212"/>
    </row>
    <row r="26" spans="1:17" s="2" customFormat="1" x14ac:dyDescent="0.2">
      <c r="A26" s="132">
        <v>402000</v>
      </c>
      <c r="B26" s="111" t="s">
        <v>577</v>
      </c>
      <c r="C26" s="83">
        <v>-3312308</v>
      </c>
      <c r="D26" s="83"/>
      <c r="E26" s="83">
        <v>-3312308</v>
      </c>
      <c r="F26" s="83">
        <v>-3312308</v>
      </c>
      <c r="G26" s="133"/>
      <c r="H26" s="133"/>
      <c r="I26" s="133"/>
      <c r="J26" s="133"/>
      <c r="K26" s="133"/>
      <c r="L26" s="133"/>
      <c r="M26" s="133"/>
      <c r="N26" s="133"/>
      <c r="O26" s="133"/>
      <c r="P26" s="133"/>
      <c r="Q26" s="133"/>
    </row>
    <row r="27" spans="1:17" s="2" customFormat="1" x14ac:dyDescent="0.2">
      <c r="A27" s="132">
        <v>402200</v>
      </c>
      <c r="B27" s="111" t="s">
        <v>578</v>
      </c>
      <c r="C27" s="83">
        <v>-3312308</v>
      </c>
      <c r="D27" s="83"/>
      <c r="E27" s="83">
        <v>-3312308</v>
      </c>
      <c r="F27" s="83">
        <v>-3312308</v>
      </c>
      <c r="G27" s="133"/>
      <c r="H27" s="133"/>
      <c r="I27" s="133"/>
      <c r="J27" s="133"/>
      <c r="K27" s="133"/>
      <c r="L27" s="133"/>
      <c r="M27" s="133"/>
      <c r="N27" s="133"/>
      <c r="O27" s="133"/>
      <c r="P27" s="133"/>
      <c r="Q27" s="133"/>
    </row>
    <row r="28" spans="1:17" ht="25.5" customHeight="1" x14ac:dyDescent="0.2">
      <c r="A28" s="84">
        <v>402202</v>
      </c>
      <c r="B28" s="85" t="s">
        <v>576</v>
      </c>
      <c r="C28" s="213">
        <v>-3312308</v>
      </c>
      <c r="D28" s="83"/>
      <c r="E28" s="213">
        <v>-3312308</v>
      </c>
      <c r="F28" s="213">
        <v>-3312308</v>
      </c>
      <c r="G28" s="212"/>
      <c r="H28" s="212"/>
      <c r="I28" s="212"/>
      <c r="J28" s="212"/>
      <c r="K28" s="212"/>
      <c r="L28" s="212"/>
      <c r="M28" s="212"/>
      <c r="N28" s="212"/>
      <c r="O28" s="212"/>
      <c r="P28" s="212"/>
      <c r="Q28" s="212"/>
    </row>
    <row r="29" spans="1:17" x14ac:dyDescent="0.2">
      <c r="A29" s="132" t="s">
        <v>640</v>
      </c>
      <c r="B29" s="111" t="s">
        <v>639</v>
      </c>
      <c r="C29" s="83">
        <v>83775142.609999999</v>
      </c>
      <c r="D29" s="83">
        <v>-352482123.88999999</v>
      </c>
      <c r="E29" s="83">
        <v>436257266.5</v>
      </c>
      <c r="F29" s="83">
        <v>435189772.35000002</v>
      </c>
      <c r="G29" s="212"/>
      <c r="H29" s="212"/>
      <c r="I29" s="212"/>
      <c r="J29" s="212"/>
      <c r="K29" s="212"/>
      <c r="L29" s="212"/>
      <c r="M29" s="212"/>
      <c r="N29" s="212"/>
      <c r="O29" s="212"/>
      <c r="P29" s="212"/>
      <c r="Q29" s="212"/>
    </row>
    <row r="30" spans="1:17" ht="25.5" x14ac:dyDescent="0.2">
      <c r="A30" s="132" t="s">
        <v>181</v>
      </c>
      <c r="B30" s="132" t="s">
        <v>182</v>
      </c>
      <c r="C30" s="83">
        <f>D30+E30</f>
        <v>0</v>
      </c>
      <c r="D30" s="83">
        <v>-352482123.88999999</v>
      </c>
      <c r="E30" s="83">
        <v>352482123.88999999</v>
      </c>
      <c r="F30" s="83">
        <v>352482123.88999999</v>
      </c>
      <c r="G30" s="212"/>
      <c r="H30" s="212"/>
      <c r="I30" s="212"/>
      <c r="J30" s="212"/>
      <c r="K30" s="212"/>
      <c r="L30" s="212"/>
      <c r="M30" s="212"/>
      <c r="N30" s="212"/>
      <c r="O30" s="212"/>
      <c r="P30" s="212"/>
      <c r="Q30" s="212"/>
    </row>
    <row r="31" spans="1:17" ht="36" customHeight="1" x14ac:dyDescent="0.2">
      <c r="A31" s="84">
        <v>602100</v>
      </c>
      <c r="B31" s="85" t="s">
        <v>183</v>
      </c>
      <c r="C31" s="213">
        <f>D31+E31</f>
        <v>0</v>
      </c>
      <c r="D31" s="213"/>
      <c r="E31" s="213"/>
      <c r="F31" s="213"/>
      <c r="G31" s="212"/>
      <c r="H31" s="212"/>
      <c r="I31" s="212"/>
      <c r="J31" s="212"/>
      <c r="K31" s="212"/>
      <c r="L31" s="212"/>
      <c r="M31" s="212"/>
      <c r="N31" s="212"/>
      <c r="O31" s="212"/>
      <c r="P31" s="212"/>
      <c r="Q31" s="212"/>
    </row>
    <row r="32" spans="1:17" ht="39.75" hidden="1" customHeight="1" x14ac:dyDescent="0.2">
      <c r="A32" s="84">
        <v>602200</v>
      </c>
      <c r="B32" s="85" t="s">
        <v>184</v>
      </c>
      <c r="C32" s="213">
        <f>SUM(D32:E32)</f>
        <v>0</v>
      </c>
      <c r="D32" s="213"/>
      <c r="E32" s="213"/>
      <c r="F32" s="83"/>
      <c r="G32" s="212"/>
      <c r="H32" s="212"/>
      <c r="I32" s="212"/>
      <c r="J32" s="212"/>
      <c r="K32" s="212"/>
      <c r="L32" s="212"/>
      <c r="M32" s="212"/>
      <c r="N32" s="212"/>
      <c r="O32" s="212"/>
      <c r="P32" s="212"/>
      <c r="Q32" s="212"/>
    </row>
    <row r="33" spans="1:17" ht="52.5" customHeight="1" x14ac:dyDescent="0.2">
      <c r="A33" s="84">
        <v>602400</v>
      </c>
      <c r="B33" s="85" t="s">
        <v>178</v>
      </c>
      <c r="C33" s="83">
        <v>0</v>
      </c>
      <c r="D33" s="83">
        <v>-352482123.88999999</v>
      </c>
      <c r="E33" s="83">
        <v>352482123.88999999</v>
      </c>
      <c r="F33" s="83">
        <v>352482123.88999999</v>
      </c>
      <c r="G33" s="212"/>
      <c r="H33" s="212"/>
      <c r="I33" s="212"/>
      <c r="J33" s="212"/>
      <c r="K33" s="212"/>
      <c r="L33" s="212"/>
      <c r="M33" s="212"/>
      <c r="N33" s="212"/>
      <c r="O33" s="212"/>
      <c r="P33" s="212"/>
      <c r="Q33" s="212"/>
    </row>
    <row r="34" spans="1:17" x14ac:dyDescent="0.2">
      <c r="A34" s="132" t="s">
        <v>640</v>
      </c>
      <c r="B34" s="111" t="s">
        <v>639</v>
      </c>
      <c r="C34" s="83">
        <f>D34+E34</f>
        <v>83775142.610000014</v>
      </c>
      <c r="D34" s="83">
        <v>-269617813.63</v>
      </c>
      <c r="E34" s="83">
        <v>353392956.24000001</v>
      </c>
      <c r="F34" s="83">
        <v>352324003.75999999</v>
      </c>
      <c r="G34" s="212"/>
      <c r="H34" s="212"/>
      <c r="I34" s="212"/>
      <c r="J34" s="212"/>
      <c r="K34" s="212"/>
      <c r="L34" s="212"/>
      <c r="M34" s="212"/>
      <c r="N34" s="212"/>
      <c r="O34" s="212"/>
      <c r="P34" s="212"/>
      <c r="Q34" s="212"/>
    </row>
    <row r="35" spans="1:17" x14ac:dyDescent="0.2">
      <c r="A35" s="120"/>
      <c r="B35" s="120"/>
      <c r="C35" s="120"/>
      <c r="D35" s="120"/>
      <c r="E35" s="120"/>
      <c r="F35" s="120"/>
      <c r="G35" s="120"/>
      <c r="H35" s="120"/>
      <c r="I35" s="120"/>
    </row>
    <row r="36" spans="1:17" x14ac:dyDescent="0.2">
      <c r="A36" s="120"/>
      <c r="B36" s="444" t="s">
        <v>980</v>
      </c>
      <c r="C36" s="444"/>
      <c r="D36" s="445"/>
      <c r="E36" s="120"/>
      <c r="F36" s="120" t="s">
        <v>982</v>
      </c>
      <c r="G36" s="120"/>
      <c r="H36" s="120"/>
      <c r="I36" s="120"/>
    </row>
    <row r="37" spans="1:17" x14ac:dyDescent="0.2">
      <c r="A37" s="120"/>
      <c r="B37" s="208"/>
      <c r="C37" s="208"/>
      <c r="D37" s="120"/>
      <c r="E37" s="120"/>
      <c r="F37" s="120"/>
      <c r="G37" s="120"/>
      <c r="H37" s="120"/>
      <c r="I37" s="120"/>
    </row>
    <row r="38" spans="1:17" x14ac:dyDescent="0.2">
      <c r="F38" s="120"/>
    </row>
  </sheetData>
  <mergeCells count="9">
    <mergeCell ref="A11:B11"/>
    <mergeCell ref="A21:B21"/>
    <mergeCell ref="B36:D36"/>
    <mergeCell ref="A5:F5"/>
    <mergeCell ref="A8:A9"/>
    <mergeCell ref="B8:B9"/>
    <mergeCell ref="C8:C9"/>
    <mergeCell ref="D8:D9"/>
    <mergeCell ref="E8:F8"/>
  </mergeCells>
  <pageMargins left="1.1811023622047245" right="0.44" top="0.39370078740157483" bottom="0.19685039370078741" header="0.39370078740157483" footer="0.15748031496062992"/>
  <pageSetup paperSize="9" scale="8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
    <pageSetUpPr fitToPage="1"/>
  </sheetPr>
  <dimension ref="A2:T218"/>
  <sheetViews>
    <sheetView view="pageBreakPreview" zoomScale="25" zoomScaleNormal="25" zoomScaleSheetLayoutView="25" zoomScalePageLayoutView="10" workbookViewId="0">
      <pane ySplit="12" topLeftCell="A195" activePane="bottomLeft" state="frozen"/>
      <selection activeCell="K153" sqref="K153"/>
      <selection pane="bottomLeft" activeCell="E205" sqref="E205"/>
    </sheetView>
  </sheetViews>
  <sheetFormatPr defaultRowHeight="12.75" x14ac:dyDescent="0.2"/>
  <cols>
    <col min="1" max="1" width="48" style="1" customWidth="1"/>
    <col min="2" max="2" width="52.5703125" style="1" customWidth="1"/>
    <col min="3" max="3" width="65.7109375" style="1" customWidth="1"/>
    <col min="4" max="4" width="106.28515625" style="1" customWidth="1"/>
    <col min="5" max="5" width="66.42578125" style="5" customWidth="1"/>
    <col min="6" max="6" width="58.5703125" style="1" customWidth="1"/>
    <col min="7" max="7" width="55.42578125" style="1" customWidth="1"/>
    <col min="8" max="8" width="48.140625" style="1" customWidth="1"/>
    <col min="9" max="9" width="41.85546875" style="1" customWidth="1"/>
    <col min="10" max="10" width="50.5703125" style="5" customWidth="1"/>
    <col min="11" max="11" width="52.5703125" style="5" customWidth="1"/>
    <col min="12" max="12" width="56.140625" style="1" customWidth="1"/>
    <col min="13" max="13" width="54.85546875" style="1" customWidth="1"/>
    <col min="14" max="14" width="45.28515625" style="1" bestFit="1" customWidth="1"/>
    <col min="15" max="15" width="56.140625" style="1" bestFit="1" customWidth="1"/>
    <col min="16" max="16" width="86.28515625" style="5" customWidth="1"/>
    <col min="17" max="17" width="52.140625" customWidth="1"/>
    <col min="18" max="18" width="66.42578125" bestFit="1" customWidth="1"/>
    <col min="20" max="20" width="24.7109375" bestFit="1" customWidth="1"/>
  </cols>
  <sheetData>
    <row r="2" spans="1:18" ht="45.75" x14ac:dyDescent="0.2">
      <c r="D2" s="7"/>
      <c r="E2" s="8"/>
      <c r="F2" s="9"/>
      <c r="G2" s="8"/>
      <c r="H2" s="8"/>
      <c r="I2" s="8"/>
      <c r="J2" s="8"/>
      <c r="K2" s="8"/>
      <c r="L2" s="8"/>
      <c r="M2" s="8"/>
      <c r="N2" s="478" t="s">
        <v>89</v>
      </c>
      <c r="O2" s="439"/>
      <c r="P2" s="439"/>
      <c r="Q2" s="439"/>
    </row>
    <row r="3" spans="1:18" ht="45.75" x14ac:dyDescent="0.2">
      <c r="A3" s="7"/>
      <c r="B3" s="7"/>
      <c r="C3" s="7"/>
      <c r="D3" s="7"/>
      <c r="E3" s="8"/>
      <c r="F3" s="9"/>
      <c r="G3" s="8"/>
      <c r="H3" s="8"/>
      <c r="I3" s="8"/>
      <c r="J3" s="8"/>
      <c r="K3" s="8"/>
      <c r="L3" s="8"/>
      <c r="M3" s="8"/>
      <c r="N3" s="478" t="s">
        <v>899</v>
      </c>
      <c r="O3" s="479"/>
      <c r="P3" s="479"/>
      <c r="Q3" s="479"/>
    </row>
    <row r="4" spans="1:18" ht="40.700000000000003" customHeight="1" x14ac:dyDescent="0.2">
      <c r="A4" s="7"/>
      <c r="B4" s="7"/>
      <c r="C4" s="7"/>
      <c r="D4" s="7"/>
      <c r="E4" s="8"/>
      <c r="F4" s="9"/>
      <c r="G4" s="8"/>
      <c r="H4" s="8"/>
      <c r="I4" s="8"/>
      <c r="J4" s="8"/>
      <c r="K4" s="8"/>
      <c r="L4" s="8"/>
      <c r="M4" s="8"/>
      <c r="N4" s="8"/>
      <c r="O4" s="478"/>
      <c r="P4" s="480"/>
    </row>
    <row r="5" spans="1:18" ht="45.75" hidden="1" x14ac:dyDescent="0.2">
      <c r="A5" s="7"/>
      <c r="B5" s="7"/>
      <c r="C5" s="7"/>
      <c r="D5" s="7"/>
      <c r="E5" s="8"/>
      <c r="F5" s="9"/>
      <c r="G5" s="8"/>
      <c r="H5" s="8"/>
      <c r="I5" s="8"/>
      <c r="J5" s="8"/>
      <c r="K5" s="8"/>
      <c r="L5" s="8"/>
      <c r="M5" s="8"/>
      <c r="N5" s="8"/>
      <c r="O5" s="7"/>
      <c r="P5" s="9"/>
    </row>
    <row r="6" spans="1:18" ht="45" x14ac:dyDescent="0.2">
      <c r="A6" s="482" t="s">
        <v>88</v>
      </c>
      <c r="B6" s="482"/>
      <c r="C6" s="482"/>
      <c r="D6" s="482"/>
      <c r="E6" s="482"/>
      <c r="F6" s="482"/>
      <c r="G6" s="482"/>
      <c r="H6" s="482"/>
      <c r="I6" s="482"/>
      <c r="J6" s="482"/>
      <c r="K6" s="482"/>
      <c r="L6" s="482"/>
      <c r="M6" s="482"/>
      <c r="N6" s="482"/>
      <c r="O6" s="482"/>
      <c r="P6" s="482"/>
    </row>
    <row r="7" spans="1:18" ht="45" x14ac:dyDescent="0.2">
      <c r="A7" s="482" t="s">
        <v>646</v>
      </c>
      <c r="B7" s="482"/>
      <c r="C7" s="482"/>
      <c r="D7" s="482"/>
      <c r="E7" s="482"/>
      <c r="F7" s="482"/>
      <c r="G7" s="482"/>
      <c r="H7" s="482"/>
      <c r="I7" s="482"/>
      <c r="J7" s="482"/>
      <c r="K7" s="482"/>
      <c r="L7" s="482"/>
      <c r="M7" s="482"/>
      <c r="N7" s="482"/>
      <c r="O7" s="482"/>
      <c r="P7" s="482"/>
    </row>
    <row r="8" spans="1:18" ht="53.45" customHeight="1" x14ac:dyDescent="0.2">
      <c r="A8" s="8"/>
      <c r="B8" s="8"/>
      <c r="C8" s="8"/>
      <c r="D8" s="8"/>
      <c r="E8" s="8"/>
      <c r="F8" s="9"/>
      <c r="G8" s="8"/>
      <c r="H8" s="8"/>
      <c r="I8" s="8"/>
      <c r="J8" s="8"/>
      <c r="K8" s="8"/>
      <c r="L8" s="8"/>
      <c r="M8" s="8"/>
      <c r="N8" s="8"/>
      <c r="O8" s="8"/>
      <c r="P8" s="10" t="s">
        <v>647</v>
      </c>
    </row>
    <row r="9" spans="1:18" ht="62.45" customHeight="1" x14ac:dyDescent="0.2">
      <c r="A9" s="484" t="s">
        <v>29</v>
      </c>
      <c r="B9" s="484" t="s">
        <v>648</v>
      </c>
      <c r="C9" s="484" t="s">
        <v>655</v>
      </c>
      <c r="D9" s="484" t="s">
        <v>649</v>
      </c>
      <c r="E9" s="481" t="s">
        <v>25</v>
      </c>
      <c r="F9" s="481"/>
      <c r="G9" s="481"/>
      <c r="H9" s="481"/>
      <c r="I9" s="481"/>
      <c r="J9" s="488" t="s">
        <v>84</v>
      </c>
      <c r="K9" s="489"/>
      <c r="L9" s="489"/>
      <c r="M9" s="489"/>
      <c r="N9" s="489"/>
      <c r="O9" s="490"/>
      <c r="P9" s="481" t="s">
        <v>24</v>
      </c>
    </row>
    <row r="10" spans="1:18" ht="255" customHeight="1" x14ac:dyDescent="0.2">
      <c r="A10" s="485"/>
      <c r="B10" s="487"/>
      <c r="C10" s="487"/>
      <c r="D10" s="485"/>
      <c r="E10" s="483" t="s">
        <v>643</v>
      </c>
      <c r="F10" s="483" t="s">
        <v>85</v>
      </c>
      <c r="G10" s="483" t="s">
        <v>26</v>
      </c>
      <c r="H10" s="483"/>
      <c r="I10" s="483" t="s">
        <v>87</v>
      </c>
      <c r="J10" s="483" t="s">
        <v>643</v>
      </c>
      <c r="K10" s="483" t="s">
        <v>644</v>
      </c>
      <c r="L10" s="483" t="s">
        <v>85</v>
      </c>
      <c r="M10" s="483" t="s">
        <v>26</v>
      </c>
      <c r="N10" s="483"/>
      <c r="O10" s="483" t="s">
        <v>87</v>
      </c>
      <c r="P10" s="481"/>
    </row>
    <row r="11" spans="1:18" ht="135" x14ac:dyDescent="0.2">
      <c r="A11" s="486"/>
      <c r="B11" s="486"/>
      <c r="C11" s="486"/>
      <c r="D11" s="486"/>
      <c r="E11" s="483"/>
      <c r="F11" s="483"/>
      <c r="G11" s="189" t="s">
        <v>86</v>
      </c>
      <c r="H11" s="189" t="s">
        <v>28</v>
      </c>
      <c r="I11" s="483"/>
      <c r="J11" s="483"/>
      <c r="K11" s="483"/>
      <c r="L11" s="483"/>
      <c r="M11" s="189" t="s">
        <v>86</v>
      </c>
      <c r="N11" s="189" t="s">
        <v>28</v>
      </c>
      <c r="O11" s="483"/>
      <c r="P11" s="481"/>
    </row>
    <row r="12" spans="1:18" s="2" customFormat="1" ht="111" customHeight="1" x14ac:dyDescent="0.2">
      <c r="A12" s="11" t="s">
        <v>4</v>
      </c>
      <c r="B12" s="11" t="s">
        <v>5</v>
      </c>
      <c r="C12" s="11" t="s">
        <v>27</v>
      </c>
      <c r="D12" s="11" t="s">
        <v>7</v>
      </c>
      <c r="E12" s="11" t="s">
        <v>658</v>
      </c>
      <c r="F12" s="11" t="s">
        <v>659</v>
      </c>
      <c r="G12" s="11" t="s">
        <v>660</v>
      </c>
      <c r="H12" s="11" t="s">
        <v>661</v>
      </c>
      <c r="I12" s="11" t="s">
        <v>662</v>
      </c>
      <c r="J12" s="11" t="s">
        <v>663</v>
      </c>
      <c r="K12" s="11" t="s">
        <v>664</v>
      </c>
      <c r="L12" s="11" t="s">
        <v>665</v>
      </c>
      <c r="M12" s="11" t="s">
        <v>666</v>
      </c>
      <c r="N12" s="11" t="s">
        <v>667</v>
      </c>
      <c r="O12" s="11" t="s">
        <v>668</v>
      </c>
      <c r="P12" s="11" t="s">
        <v>669</v>
      </c>
    </row>
    <row r="13" spans="1:18" s="2" customFormat="1" ht="135" x14ac:dyDescent="0.2">
      <c r="A13" s="280" t="s">
        <v>229</v>
      </c>
      <c r="B13" s="280"/>
      <c r="C13" s="280"/>
      <c r="D13" s="281" t="s">
        <v>231</v>
      </c>
      <c r="E13" s="282">
        <f>E14</f>
        <v>91904512</v>
      </c>
      <c r="F13" s="282">
        <f t="shared" ref="F13:N13" si="0">F14</f>
        <v>91904512</v>
      </c>
      <c r="G13" s="282">
        <f t="shared" si="0"/>
        <v>54985000</v>
      </c>
      <c r="H13" s="282">
        <f t="shared" si="0"/>
        <v>2521600</v>
      </c>
      <c r="I13" s="282">
        <f t="shared" si="0"/>
        <v>0</v>
      </c>
      <c r="J13" s="282">
        <f t="shared" si="0"/>
        <v>12748940.039999999</v>
      </c>
      <c r="K13" s="282">
        <f t="shared" si="0"/>
        <v>9172679</v>
      </c>
      <c r="L13" s="282">
        <f t="shared" si="0"/>
        <v>3546261.04</v>
      </c>
      <c r="M13" s="282">
        <f t="shared" si="0"/>
        <v>0</v>
      </c>
      <c r="N13" s="282">
        <f t="shared" si="0"/>
        <v>0</v>
      </c>
      <c r="O13" s="282">
        <f>O14</f>
        <v>9202679</v>
      </c>
      <c r="P13" s="282">
        <f t="shared" ref="P13" si="1">P14</f>
        <v>104653452.03999999</v>
      </c>
    </row>
    <row r="14" spans="1:18" s="2" customFormat="1" ht="135" x14ac:dyDescent="0.2">
      <c r="A14" s="283" t="s">
        <v>230</v>
      </c>
      <c r="B14" s="283"/>
      <c r="C14" s="283"/>
      <c r="D14" s="284" t="s">
        <v>232</v>
      </c>
      <c r="E14" s="285">
        <f>SUM(E15:E24)</f>
        <v>91904512</v>
      </c>
      <c r="F14" s="285">
        <f t="shared" ref="F14:I14" si="2">SUM(F15:F24)</f>
        <v>91904512</v>
      </c>
      <c r="G14" s="285">
        <f t="shared" si="2"/>
        <v>54985000</v>
      </c>
      <c r="H14" s="285">
        <f t="shared" si="2"/>
        <v>2521600</v>
      </c>
      <c r="I14" s="285">
        <f t="shared" si="2"/>
        <v>0</v>
      </c>
      <c r="J14" s="285">
        <f t="shared" ref="J14:J19" si="3">L14+O14</f>
        <v>12748940.039999999</v>
      </c>
      <c r="K14" s="285">
        <f t="shared" ref="K14" si="4">SUM(K15:K24)</f>
        <v>9172679</v>
      </c>
      <c r="L14" s="285">
        <f t="shared" ref="L14" si="5">SUM(L15:L24)</f>
        <v>3546261.04</v>
      </c>
      <c r="M14" s="285">
        <f t="shared" ref="M14" si="6">SUM(M15:M24)</f>
        <v>0</v>
      </c>
      <c r="N14" s="285">
        <f t="shared" ref="N14" si="7">SUM(N15:N24)</f>
        <v>0</v>
      </c>
      <c r="O14" s="285">
        <f t="shared" ref="O14" si="8">SUM(O15:O24)</f>
        <v>9202679</v>
      </c>
      <c r="P14" s="285">
        <f>E14+J14</f>
        <v>104653452.03999999</v>
      </c>
      <c r="Q14" s="137" t="b">
        <f>P15+P16+P17+P18+P21+P22+P19+P23+P24=P14</f>
        <v>1</v>
      </c>
      <c r="R14" s="137" t="b">
        <f>K14='dod5'!I6</f>
        <v>1</v>
      </c>
    </row>
    <row r="15" spans="1:18" ht="320.25" x14ac:dyDescent="0.2">
      <c r="A15" s="303" t="s">
        <v>332</v>
      </c>
      <c r="B15" s="303" t="s">
        <v>333</v>
      </c>
      <c r="C15" s="303" t="s">
        <v>334</v>
      </c>
      <c r="D15" s="303" t="s">
        <v>331</v>
      </c>
      <c r="E15" s="431">
        <f t="shared" ref="E15:E22" si="9">F15</f>
        <v>79065004</v>
      </c>
      <c r="F15" s="266">
        <f>(79041400)+23604</f>
        <v>79065004</v>
      </c>
      <c r="G15" s="266">
        <v>54985000</v>
      </c>
      <c r="H15" s="266">
        <f>(2510600)+11000</f>
        <v>2521600</v>
      </c>
      <c r="I15" s="266"/>
      <c r="J15" s="304">
        <f t="shared" si="3"/>
        <v>1078500</v>
      </c>
      <c r="K15" s="266">
        <f>((210000)+568500)+300000</f>
        <v>1078500</v>
      </c>
      <c r="L15" s="286"/>
      <c r="M15" s="287"/>
      <c r="N15" s="287"/>
      <c r="O15" s="288">
        <f>K15</f>
        <v>1078500</v>
      </c>
      <c r="P15" s="304">
        <f>+J15+E15</f>
        <v>80143504</v>
      </c>
      <c r="R15" s="137" t="b">
        <f>K15='dod5'!I8</f>
        <v>1</v>
      </c>
    </row>
    <row r="16" spans="1:18" ht="91.5" x14ac:dyDescent="0.2">
      <c r="A16" s="303" t="s">
        <v>348</v>
      </c>
      <c r="B16" s="303" t="s">
        <v>71</v>
      </c>
      <c r="C16" s="303" t="s">
        <v>70</v>
      </c>
      <c r="D16" s="303" t="s">
        <v>349</v>
      </c>
      <c r="E16" s="431">
        <f t="shared" ref="E16:E19" si="10">F16</f>
        <v>2305000</v>
      </c>
      <c r="F16" s="276">
        <f>(1305000)+1000000</f>
        <v>2305000</v>
      </c>
      <c r="G16" s="276"/>
      <c r="H16" s="276"/>
      <c r="I16" s="276"/>
      <c r="J16" s="304">
        <f t="shared" si="3"/>
        <v>475727</v>
      </c>
      <c r="K16" s="276">
        <v>475727</v>
      </c>
      <c r="L16" s="276"/>
      <c r="M16" s="276"/>
      <c r="N16" s="276"/>
      <c r="O16" s="288">
        <f>K16</f>
        <v>475727</v>
      </c>
      <c r="P16" s="304">
        <f>E16+J16</f>
        <v>2780727</v>
      </c>
      <c r="R16" s="137"/>
    </row>
    <row r="17" spans="1:20" ht="91.5" x14ac:dyDescent="0.2">
      <c r="A17" s="303" t="s">
        <v>338</v>
      </c>
      <c r="B17" s="303" t="s">
        <v>339</v>
      </c>
      <c r="C17" s="303" t="s">
        <v>340</v>
      </c>
      <c r="D17" s="303" t="s">
        <v>337</v>
      </c>
      <c r="E17" s="431">
        <f t="shared" si="10"/>
        <v>3236400</v>
      </c>
      <c r="F17" s="276">
        <v>3236400</v>
      </c>
      <c r="G17" s="276">
        <f>H17+I17</f>
        <v>0</v>
      </c>
      <c r="H17" s="276"/>
      <c r="I17" s="276"/>
      <c r="J17" s="304">
        <f t="shared" si="3"/>
        <v>3500000</v>
      </c>
      <c r="K17" s="276">
        <f>(1500000)+2000000</f>
        <v>3500000</v>
      </c>
      <c r="L17" s="276"/>
      <c r="M17" s="276"/>
      <c r="N17" s="276"/>
      <c r="O17" s="288">
        <f>K17</f>
        <v>3500000</v>
      </c>
      <c r="P17" s="304">
        <f>+J17+E17</f>
        <v>6736400</v>
      </c>
      <c r="R17" s="137" t="b">
        <f>K17='dod5'!I10</f>
        <v>1</v>
      </c>
    </row>
    <row r="18" spans="1:20" ht="137.25" x14ac:dyDescent="0.2">
      <c r="A18" s="303" t="s">
        <v>440</v>
      </c>
      <c r="B18" s="303" t="s">
        <v>441</v>
      </c>
      <c r="C18" s="303" t="s">
        <v>251</v>
      </c>
      <c r="D18" s="302" t="s">
        <v>439</v>
      </c>
      <c r="E18" s="431">
        <f t="shared" si="10"/>
        <v>165000</v>
      </c>
      <c r="F18" s="276">
        <v>165000</v>
      </c>
      <c r="G18" s="276"/>
      <c r="H18" s="276"/>
      <c r="I18" s="276"/>
      <c r="J18" s="304">
        <f t="shared" si="3"/>
        <v>0</v>
      </c>
      <c r="K18" s="276"/>
      <c r="L18" s="276"/>
      <c r="M18" s="276"/>
      <c r="N18" s="276"/>
      <c r="O18" s="288">
        <f>K18</f>
        <v>0</v>
      </c>
      <c r="P18" s="304">
        <f>+J18+E18</f>
        <v>165000</v>
      </c>
      <c r="R18" s="137"/>
    </row>
    <row r="19" spans="1:20" s="119" customFormat="1" ht="409.5" x14ac:dyDescent="0.2">
      <c r="A19" s="461" t="s">
        <v>529</v>
      </c>
      <c r="B19" s="461" t="s">
        <v>528</v>
      </c>
      <c r="C19" s="461" t="s">
        <v>251</v>
      </c>
      <c r="D19" s="289" t="s">
        <v>539</v>
      </c>
      <c r="E19" s="457">
        <f t="shared" si="10"/>
        <v>0</v>
      </c>
      <c r="F19" s="452"/>
      <c r="G19" s="452"/>
      <c r="H19" s="452"/>
      <c r="I19" s="452"/>
      <c r="J19" s="465">
        <f t="shared" si="3"/>
        <v>3576261.04</v>
      </c>
      <c r="K19" s="452"/>
      <c r="L19" s="452">
        <f>((2225100)+643666.04)+543000+134495</f>
        <v>3546261.04</v>
      </c>
      <c r="M19" s="452"/>
      <c r="N19" s="452"/>
      <c r="O19" s="450">
        <f>(K19+50000)-20000</f>
        <v>30000</v>
      </c>
      <c r="P19" s="457">
        <f>E19+J19</f>
        <v>3576261.04</v>
      </c>
      <c r="Q19" s="220">
        <f>P19</f>
        <v>3576261.04</v>
      </c>
    </row>
    <row r="20" spans="1:20" s="119" customFormat="1" ht="137.25" x14ac:dyDescent="0.2">
      <c r="A20" s="464"/>
      <c r="B20" s="464"/>
      <c r="C20" s="464"/>
      <c r="D20" s="290" t="s">
        <v>540</v>
      </c>
      <c r="E20" s="458"/>
      <c r="F20" s="453"/>
      <c r="G20" s="453"/>
      <c r="H20" s="453"/>
      <c r="I20" s="453"/>
      <c r="J20" s="464"/>
      <c r="K20" s="464"/>
      <c r="L20" s="453"/>
      <c r="M20" s="453"/>
      <c r="N20" s="453"/>
      <c r="O20" s="459"/>
      <c r="P20" s="458"/>
    </row>
    <row r="21" spans="1:20" ht="91.5" x14ac:dyDescent="0.2">
      <c r="A21" s="303" t="s">
        <v>341</v>
      </c>
      <c r="B21" s="303" t="s">
        <v>342</v>
      </c>
      <c r="C21" s="303" t="s">
        <v>343</v>
      </c>
      <c r="D21" s="302" t="s">
        <v>344</v>
      </c>
      <c r="E21" s="431">
        <f>F21</f>
        <v>4573000</v>
      </c>
      <c r="F21" s="276">
        <f>((3515000)+130000)+928000</f>
        <v>4573000</v>
      </c>
      <c r="G21" s="276"/>
      <c r="H21" s="276"/>
      <c r="I21" s="276"/>
      <c r="J21" s="304">
        <f>L21+O21</f>
        <v>0</v>
      </c>
      <c r="K21" s="276"/>
      <c r="L21" s="276"/>
      <c r="M21" s="276"/>
      <c r="N21" s="276"/>
      <c r="O21" s="288">
        <f>K21</f>
        <v>0</v>
      </c>
      <c r="P21" s="304">
        <f>E21+J21</f>
        <v>4573000</v>
      </c>
    </row>
    <row r="22" spans="1:20" ht="274.5" x14ac:dyDescent="0.2">
      <c r="A22" s="303" t="s">
        <v>345</v>
      </c>
      <c r="B22" s="303" t="s">
        <v>346</v>
      </c>
      <c r="C22" s="303" t="s">
        <v>71</v>
      </c>
      <c r="D22" s="303" t="s">
        <v>347</v>
      </c>
      <c r="E22" s="431">
        <f t="shared" si="9"/>
        <v>190000</v>
      </c>
      <c r="F22" s="276">
        <v>190000</v>
      </c>
      <c r="G22" s="276"/>
      <c r="H22" s="276"/>
      <c r="I22" s="276"/>
      <c r="J22" s="304">
        <f>L22+O22</f>
        <v>0</v>
      </c>
      <c r="K22" s="276"/>
      <c r="L22" s="276"/>
      <c r="M22" s="276"/>
      <c r="N22" s="276"/>
      <c r="O22" s="288">
        <f>K22</f>
        <v>0</v>
      </c>
      <c r="P22" s="304">
        <f>E22+J22</f>
        <v>190000</v>
      </c>
    </row>
    <row r="23" spans="1:20" ht="91.5" x14ac:dyDescent="0.2">
      <c r="A23" s="303" t="s">
        <v>851</v>
      </c>
      <c r="B23" s="303" t="s">
        <v>591</v>
      </c>
      <c r="C23" s="303" t="s">
        <v>71</v>
      </c>
      <c r="D23" s="303" t="s">
        <v>592</v>
      </c>
      <c r="E23" s="431">
        <f t="shared" ref="E23:E24" si="11">F23</f>
        <v>0</v>
      </c>
      <c r="F23" s="276"/>
      <c r="G23" s="276"/>
      <c r="H23" s="276"/>
      <c r="I23" s="276"/>
      <c r="J23" s="304">
        <f t="shared" ref="J23:J24" si="12">L23+O23</f>
        <v>100000</v>
      </c>
      <c r="K23" s="276">
        <v>100000</v>
      </c>
      <c r="L23" s="276"/>
      <c r="M23" s="276"/>
      <c r="N23" s="276"/>
      <c r="O23" s="288">
        <f t="shared" ref="O23:O24" si="13">K23</f>
        <v>100000</v>
      </c>
      <c r="P23" s="304">
        <f t="shared" ref="P23:P24" si="14">E23+J23</f>
        <v>100000</v>
      </c>
      <c r="R23" s="137" t="b">
        <f>K23='dod5'!I11</f>
        <v>1</v>
      </c>
    </row>
    <row r="24" spans="1:20" ht="183" x14ac:dyDescent="0.2">
      <c r="A24" s="303" t="s">
        <v>853</v>
      </c>
      <c r="B24" s="303" t="s">
        <v>854</v>
      </c>
      <c r="C24" s="303" t="s">
        <v>71</v>
      </c>
      <c r="D24" s="303" t="s">
        <v>852</v>
      </c>
      <c r="E24" s="431">
        <f t="shared" si="11"/>
        <v>2370108</v>
      </c>
      <c r="F24" s="276">
        <f>(2170108)+200000</f>
        <v>2370108</v>
      </c>
      <c r="G24" s="276"/>
      <c r="H24" s="276"/>
      <c r="I24" s="276"/>
      <c r="J24" s="304">
        <f t="shared" si="12"/>
        <v>4018452</v>
      </c>
      <c r="K24" s="276">
        <f>(3518452)+500000</f>
        <v>4018452</v>
      </c>
      <c r="L24" s="276"/>
      <c r="M24" s="276"/>
      <c r="N24" s="276"/>
      <c r="O24" s="288">
        <f t="shared" si="13"/>
        <v>4018452</v>
      </c>
      <c r="P24" s="304">
        <f t="shared" si="14"/>
        <v>6388560</v>
      </c>
      <c r="R24" s="137" t="b">
        <f>K24='dod5'!I14+'dod5'!I12+'dod5'!I13</f>
        <v>1</v>
      </c>
    </row>
    <row r="25" spans="1:20" ht="135" x14ac:dyDescent="0.2">
      <c r="A25" s="280" t="s">
        <v>233</v>
      </c>
      <c r="B25" s="280"/>
      <c r="C25" s="280"/>
      <c r="D25" s="281" t="s">
        <v>0</v>
      </c>
      <c r="E25" s="282">
        <f>E26</f>
        <v>1008449605.4</v>
      </c>
      <c r="F25" s="282">
        <f t="shared" ref="F25" si="15">F26</f>
        <v>1008449605.4</v>
      </c>
      <c r="G25" s="282">
        <f t="shared" ref="G25" si="16">G26</f>
        <v>662588424.39999998</v>
      </c>
      <c r="H25" s="282">
        <f>H26</f>
        <v>87521850</v>
      </c>
      <c r="I25" s="282">
        <f t="shared" ref="I25" si="17">I26</f>
        <v>0</v>
      </c>
      <c r="J25" s="282">
        <f>J26</f>
        <v>147666052.03999999</v>
      </c>
      <c r="K25" s="282">
        <f>K26</f>
        <v>43054437.039999999</v>
      </c>
      <c r="L25" s="282">
        <f>L26</f>
        <v>103434212.53</v>
      </c>
      <c r="M25" s="282">
        <f t="shared" ref="M25" si="18">M26</f>
        <v>27935261</v>
      </c>
      <c r="N25" s="282">
        <f>N26</f>
        <v>8624815.4000000004</v>
      </c>
      <c r="O25" s="282">
        <f>O26</f>
        <v>44231839.509999998</v>
      </c>
      <c r="P25" s="282">
        <f t="shared" ref="P25" si="19">P26</f>
        <v>1156115657.4400001</v>
      </c>
    </row>
    <row r="26" spans="1:20" ht="135" x14ac:dyDescent="0.2">
      <c r="A26" s="283" t="s">
        <v>234</v>
      </c>
      <c r="B26" s="283"/>
      <c r="C26" s="283"/>
      <c r="D26" s="284" t="s">
        <v>1</v>
      </c>
      <c r="E26" s="285">
        <f>SUM(E27:E37)</f>
        <v>1008449605.4</v>
      </c>
      <c r="F26" s="285">
        <f>SUM(F27:F37)</f>
        <v>1008449605.4</v>
      </c>
      <c r="G26" s="285">
        <f>SUM(G27:G37)</f>
        <v>662588424.39999998</v>
      </c>
      <c r="H26" s="285">
        <f>SUM(H27:H37)</f>
        <v>87521850</v>
      </c>
      <c r="I26" s="285">
        <f>SUM(I27:I37)</f>
        <v>0</v>
      </c>
      <c r="J26" s="285">
        <f>L26+O26</f>
        <v>147666052.03999999</v>
      </c>
      <c r="K26" s="285">
        <f>SUM(K27:K37)</f>
        <v>43054437.039999999</v>
      </c>
      <c r="L26" s="285">
        <f>SUM(L27:L37)</f>
        <v>103434212.53</v>
      </c>
      <c r="M26" s="285">
        <f>SUM(M27:M37)</f>
        <v>27935261</v>
      </c>
      <c r="N26" s="285">
        <f>SUM(N27:N37)</f>
        <v>8624815.4000000004</v>
      </c>
      <c r="O26" s="285">
        <f>SUM(O27:O37)</f>
        <v>44231839.509999998</v>
      </c>
      <c r="P26" s="285">
        <f t="shared" ref="P26:P34" si="20">E26+J26</f>
        <v>1156115657.4400001</v>
      </c>
      <c r="Q26" s="137" t="b">
        <f>P26=P27+P28+P29+P30+P31+P32+P33+P34+P36+P35+P37</f>
        <v>1</v>
      </c>
      <c r="R26" s="137" t="b">
        <f>K26='dod5'!I16</f>
        <v>1</v>
      </c>
    </row>
    <row r="27" spans="1:20" ht="46.5" x14ac:dyDescent="0.6">
      <c r="A27" s="311" t="s">
        <v>289</v>
      </c>
      <c r="B27" s="311" t="s">
        <v>290</v>
      </c>
      <c r="C27" s="311" t="s">
        <v>292</v>
      </c>
      <c r="D27" s="311" t="s">
        <v>293</v>
      </c>
      <c r="E27" s="431">
        <f>F27</f>
        <v>281084390</v>
      </c>
      <c r="F27" s="276">
        <f>((165508870+36411952+4442800+121320+24563500+1338350+273720+18519120+1241048+6540100+35500+100000)+4545735+913000)+3274731+3051220+890796+496030+8642500+22300+208820+12652+36000+10000+25000+2384000+346000-3000000+26483+102843</f>
        <v>281084390</v>
      </c>
      <c r="G27" s="276">
        <f>((165508870)+1966600+748360)+2684206+2501008+730163+406580+7160000</f>
        <v>181705787</v>
      </c>
      <c r="H27" s="276">
        <f>(26559008)+2384000+346000</f>
        <v>29289008</v>
      </c>
      <c r="I27" s="276"/>
      <c r="J27" s="307">
        <f t="shared" ref="J27:J35" si="21">L27+O27</f>
        <v>46544366</v>
      </c>
      <c r="K27" s="276">
        <f>(6653272)-500000+400000-292260+265777-295360+192517</f>
        <v>6423946</v>
      </c>
      <c r="L27" s="276">
        <f>39787420+197651+50465-10440-105090-7730-2000</f>
        <v>39910276</v>
      </c>
      <c r="M27" s="276">
        <f>(7603840)+197651</f>
        <v>7801491</v>
      </c>
      <c r="N27" s="276">
        <v>876470.92</v>
      </c>
      <c r="O27" s="288">
        <f>(K27+333000)-122856</f>
        <v>6634090</v>
      </c>
      <c r="P27" s="307">
        <f t="shared" si="20"/>
        <v>327628756</v>
      </c>
      <c r="Q27" s="14"/>
      <c r="R27" s="236" t="b">
        <f>K27='dod5'!I17</f>
        <v>1</v>
      </c>
    </row>
    <row r="28" spans="1:20" ht="366" x14ac:dyDescent="0.55000000000000004">
      <c r="A28" s="311" t="s">
        <v>295</v>
      </c>
      <c r="B28" s="311" t="s">
        <v>291</v>
      </c>
      <c r="C28" s="311" t="s">
        <v>296</v>
      </c>
      <c r="D28" s="311" t="s">
        <v>618</v>
      </c>
      <c r="E28" s="431">
        <f t="shared" ref="E28:E33" si="22">F28</f>
        <v>560569228.39999998</v>
      </c>
      <c r="F28" s="276">
        <f>(566488460.4)+144832+139690+41202+384700-7068800+88000+57100+19234+72226+10000+26254+121000+166800+300000+100000+300000+178313+199999-3500000+648000-68114+17500-116668+290193+295000-178313+150000+3156560-1893940</f>
        <v>560569228.39999998</v>
      </c>
      <c r="G28" s="276">
        <f>((377515910+1668354)+4047428.4)+118715+114502+33768+315300-5032600-95628</f>
        <v>378685749.39999998</v>
      </c>
      <c r="H28" s="276">
        <f>(42397676)-3500000+648000</f>
        <v>39545676</v>
      </c>
      <c r="I28" s="276"/>
      <c r="J28" s="307">
        <f t="shared" si="21"/>
        <v>69462028.039999992</v>
      </c>
      <c r="K28" s="276">
        <f>(22878252.04)-280000+1000000+100000+360000+1751862+68114-17500+3156560+120000-360000-3156560+1893940</f>
        <v>27514668.039999999</v>
      </c>
      <c r="L28" s="276">
        <f>(41102910)-24983+139930+21929-79100-6000-6900-5780-8000-20300+61117</f>
        <v>41174823</v>
      </c>
      <c r="M28" s="276">
        <f>(13732800)+139930</f>
        <v>13872730</v>
      </c>
      <c r="N28" s="276">
        <f>(1026847.35)+1308.68</f>
        <v>1028156.03</v>
      </c>
      <c r="O28" s="288">
        <f>(K28+844450+24983)-35779-61117</f>
        <v>28287205.039999999</v>
      </c>
      <c r="P28" s="307">
        <f t="shared" si="20"/>
        <v>630031256.43999994</v>
      </c>
      <c r="Q28" s="14"/>
      <c r="R28" s="137" t="b">
        <f>K28='dod5'!I18+'dod5'!I19+'dod5'!I20+'dod5'!I21+'dod5'!I22</f>
        <v>1</v>
      </c>
      <c r="T28" s="109"/>
    </row>
    <row r="29" spans="1:20" ht="366" x14ac:dyDescent="0.2">
      <c r="A29" s="311" t="s">
        <v>299</v>
      </c>
      <c r="B29" s="311" t="s">
        <v>298</v>
      </c>
      <c r="C29" s="311" t="s">
        <v>300</v>
      </c>
      <c r="D29" s="311" t="s">
        <v>32</v>
      </c>
      <c r="E29" s="431">
        <f t="shared" si="22"/>
        <v>16762878</v>
      </c>
      <c r="F29" s="276">
        <f>((11987275+2637201+297700+3970+635400+74400+12000+1090080+19380+107800+5400+5000)+8400+14040)+16474+15860+3402+20048-211200+200+20048</f>
        <v>16762878</v>
      </c>
      <c r="G29" s="276">
        <f>(11987275)+13503+13005+2785+16430+20500+16430</f>
        <v>12069928</v>
      </c>
      <c r="H29" s="276">
        <v>1223374</v>
      </c>
      <c r="I29" s="276"/>
      <c r="J29" s="307">
        <f t="shared" si="21"/>
        <v>89000</v>
      </c>
      <c r="K29" s="276">
        <f>(9000)+30000</f>
        <v>39000</v>
      </c>
      <c r="L29" s="276">
        <v>50000</v>
      </c>
      <c r="M29" s="276"/>
      <c r="N29" s="276">
        <v>29628</v>
      </c>
      <c r="O29" s="288">
        <f>K29</f>
        <v>39000</v>
      </c>
      <c r="P29" s="307">
        <f t="shared" si="20"/>
        <v>16851878</v>
      </c>
      <c r="R29" s="137" t="b">
        <f>K29='dod5'!I23</f>
        <v>1</v>
      </c>
    </row>
    <row r="30" spans="1:20" ht="183" x14ac:dyDescent="0.2">
      <c r="A30" s="311" t="s">
        <v>301</v>
      </c>
      <c r="B30" s="311" t="s">
        <v>282</v>
      </c>
      <c r="C30" s="311" t="s">
        <v>270</v>
      </c>
      <c r="D30" s="311" t="s">
        <v>33</v>
      </c>
      <c r="E30" s="431">
        <f t="shared" si="22"/>
        <v>29471313</v>
      </c>
      <c r="F30" s="276">
        <f>((19190813+4221979+572200+13650+0+820000+23640+304700+1254870+46020+589810+263715+3840+30500+200)+400078)+492898+500400+742000</f>
        <v>29471313</v>
      </c>
      <c r="G30" s="276">
        <f>(19190813)+404015+509100</f>
        <v>20103928</v>
      </c>
      <c r="H30" s="276">
        <f>(2186576)+742000</f>
        <v>2928576</v>
      </c>
      <c r="I30" s="276"/>
      <c r="J30" s="307">
        <f t="shared" si="21"/>
        <v>8951670</v>
      </c>
      <c r="K30" s="276">
        <f>((18000+2000000+300000)+300000+60000)+1500000+60000</f>
        <v>4238000</v>
      </c>
      <c r="L30" s="276">
        <f>(4579670)+35000+8000-13000</f>
        <v>4609670</v>
      </c>
      <c r="M30" s="276">
        <f>(1037200)+35000</f>
        <v>1072200</v>
      </c>
      <c r="N30" s="276">
        <v>366037.45</v>
      </c>
      <c r="O30" s="288">
        <f>(K30+134000)-30000</f>
        <v>4342000</v>
      </c>
      <c r="P30" s="307">
        <f t="shared" si="20"/>
        <v>38422983</v>
      </c>
      <c r="R30" s="137" t="b">
        <f>K30='dod5'!I24+'dod5'!I25</f>
        <v>1</v>
      </c>
    </row>
    <row r="31" spans="1:20" ht="137.25" x14ac:dyDescent="0.2">
      <c r="A31" s="311" t="s">
        <v>302</v>
      </c>
      <c r="B31" s="311" t="s">
        <v>303</v>
      </c>
      <c r="C31" s="311" t="s">
        <v>304</v>
      </c>
      <c r="D31" s="311" t="s">
        <v>305</v>
      </c>
      <c r="E31" s="431">
        <f t="shared" si="22"/>
        <v>96519104</v>
      </c>
      <c r="F31" s="276">
        <f>((55361620+12179557+98200+14420+3078726+14900+65640+8051698+582633+3183200+1360000+15250000+502876)+427000)+726388-2319488-2000000-58266</f>
        <v>96519104</v>
      </c>
      <c r="G31" s="276">
        <f>(55361620)+595400-1557388</f>
        <v>54399632</v>
      </c>
      <c r="H31" s="276">
        <f>(13186731)+427000-58266</f>
        <v>13555465</v>
      </c>
      <c r="I31" s="276"/>
      <c r="J31" s="307">
        <f>L31+O31</f>
        <v>17652608</v>
      </c>
      <c r="K31" s="276">
        <f>(216557)+58266</f>
        <v>274823</v>
      </c>
      <c r="L31" s="276">
        <f>(15728160-15000)-14521.47-15200-46000+1649625</f>
        <v>17287063.530000001</v>
      </c>
      <c r="M31" s="276">
        <f>(4054000)+935200</f>
        <v>4989200</v>
      </c>
      <c r="N31" s="276">
        <f>(6022813)+36000+69000+13000+180300</f>
        <v>6321113</v>
      </c>
      <c r="O31" s="288">
        <f>(K31+15000)+29721.47+46000</f>
        <v>365544.47</v>
      </c>
      <c r="P31" s="307">
        <f t="shared" si="20"/>
        <v>114171712</v>
      </c>
      <c r="R31" s="137" t="b">
        <f>K31='dod5'!I26+'dod5'!I27</f>
        <v>1</v>
      </c>
    </row>
    <row r="32" spans="1:20" ht="91.5" x14ac:dyDescent="0.2">
      <c r="A32" s="311" t="s">
        <v>307</v>
      </c>
      <c r="B32" s="311" t="s">
        <v>308</v>
      </c>
      <c r="C32" s="311" t="s">
        <v>309</v>
      </c>
      <c r="D32" s="311" t="s">
        <v>306</v>
      </c>
      <c r="E32" s="431">
        <f t="shared" si="22"/>
        <v>4618170</v>
      </c>
      <c r="F32" s="276">
        <f>((3056197+672364+210900+430000+3120+40000+126900+4845+57140+400+2500)+168622)+51282-206100</f>
        <v>4618170</v>
      </c>
      <c r="G32" s="276">
        <f>(3056197)+42034-158800</f>
        <v>2939431</v>
      </c>
      <c r="H32" s="276">
        <v>192737</v>
      </c>
      <c r="I32" s="276"/>
      <c r="J32" s="307">
        <f t="shared" si="21"/>
        <v>73740</v>
      </c>
      <c r="K32" s="276"/>
      <c r="L32" s="276">
        <v>73740</v>
      </c>
      <c r="M32" s="276"/>
      <c r="N32" s="276"/>
      <c r="O32" s="288">
        <f t="shared" ref="O32:O37" si="23">K32</f>
        <v>0</v>
      </c>
      <c r="P32" s="307">
        <f t="shared" si="20"/>
        <v>4691910</v>
      </c>
      <c r="R32" s="137"/>
    </row>
    <row r="33" spans="1:18" s="119" customFormat="1" ht="91.5" x14ac:dyDescent="0.2">
      <c r="A33" s="310" t="s">
        <v>494</v>
      </c>
      <c r="B33" s="310" t="s">
        <v>495</v>
      </c>
      <c r="C33" s="310" t="s">
        <v>309</v>
      </c>
      <c r="D33" s="310" t="s">
        <v>493</v>
      </c>
      <c r="E33" s="431">
        <f t="shared" si="22"/>
        <v>15312740</v>
      </c>
      <c r="F33" s="276">
        <f>((11912850+2620827+577800+1200+362900+12480+440620+8475+262150+2705+4360+400+3840+1416600)-1905368)+121901-598000+67000</f>
        <v>15312740</v>
      </c>
      <c r="G33" s="276">
        <f>((11912850+1161200)-1421200)+99919-490000</f>
        <v>11262769</v>
      </c>
      <c r="H33" s="276">
        <f>(689114)+67000</f>
        <v>756114</v>
      </c>
      <c r="I33" s="308"/>
      <c r="J33" s="307">
        <f t="shared" si="21"/>
        <v>352640</v>
      </c>
      <c r="K33" s="276">
        <f>(9000)+15000</f>
        <v>24000</v>
      </c>
      <c r="L33" s="276">
        <v>328640</v>
      </c>
      <c r="M33" s="276">
        <v>199640</v>
      </c>
      <c r="N33" s="276">
        <v>3410</v>
      </c>
      <c r="O33" s="288">
        <f t="shared" si="23"/>
        <v>24000</v>
      </c>
      <c r="P33" s="307">
        <f t="shared" si="20"/>
        <v>15665380</v>
      </c>
      <c r="R33" s="137" t="b">
        <f>K33='dod5'!I28</f>
        <v>1</v>
      </c>
    </row>
    <row r="34" spans="1:18" s="119" customFormat="1" ht="91.5" x14ac:dyDescent="0.2">
      <c r="A34" s="310" t="s">
        <v>526</v>
      </c>
      <c r="B34" s="310" t="s">
        <v>527</v>
      </c>
      <c r="C34" s="310" t="s">
        <v>309</v>
      </c>
      <c r="D34" s="311" t="s">
        <v>525</v>
      </c>
      <c r="E34" s="430">
        <f>F34</f>
        <v>150770</v>
      </c>
      <c r="F34" s="308">
        <f>(148960)+1810</f>
        <v>150770</v>
      </c>
      <c r="G34" s="308"/>
      <c r="H34" s="308"/>
      <c r="I34" s="308"/>
      <c r="J34" s="307">
        <f t="shared" si="21"/>
        <v>0</v>
      </c>
      <c r="K34" s="308"/>
      <c r="L34" s="308"/>
      <c r="M34" s="308"/>
      <c r="N34" s="308"/>
      <c r="O34" s="288">
        <f t="shared" si="23"/>
        <v>0</v>
      </c>
      <c r="P34" s="307">
        <f t="shared" si="20"/>
        <v>150770</v>
      </c>
      <c r="R34" s="137"/>
    </row>
    <row r="35" spans="1:18" s="119" customFormat="1" ht="91.5" x14ac:dyDescent="0.2">
      <c r="A35" s="310" t="s">
        <v>808</v>
      </c>
      <c r="B35" s="310" t="s">
        <v>809</v>
      </c>
      <c r="C35" s="310" t="s">
        <v>309</v>
      </c>
      <c r="D35" s="311" t="s">
        <v>810</v>
      </c>
      <c r="E35" s="430">
        <f>F35</f>
        <v>2036012</v>
      </c>
      <c r="F35" s="308">
        <v>2036012</v>
      </c>
      <c r="G35" s="308">
        <f>1161200+260000</f>
        <v>1421200</v>
      </c>
      <c r="H35" s="308">
        <v>30900</v>
      </c>
      <c r="I35" s="308"/>
      <c r="J35" s="307">
        <f t="shared" si="21"/>
        <v>200000</v>
      </c>
      <c r="K35" s="308">
        <v>200000</v>
      </c>
      <c r="L35" s="308"/>
      <c r="M35" s="308"/>
      <c r="N35" s="308"/>
      <c r="O35" s="288">
        <f t="shared" si="23"/>
        <v>200000</v>
      </c>
      <c r="P35" s="307">
        <f t="shared" ref="P35:P37" si="24">E35+J35</f>
        <v>2236012</v>
      </c>
      <c r="R35" s="137"/>
    </row>
    <row r="36" spans="1:18" s="119" customFormat="1" ht="366" x14ac:dyDescent="0.2">
      <c r="A36" s="311" t="s">
        <v>812</v>
      </c>
      <c r="B36" s="311" t="s">
        <v>813</v>
      </c>
      <c r="C36" s="311" t="s">
        <v>274</v>
      </c>
      <c r="D36" s="311" t="s">
        <v>811</v>
      </c>
      <c r="E36" s="430">
        <f>F36</f>
        <v>1925000</v>
      </c>
      <c r="F36" s="308">
        <v>1925000</v>
      </c>
      <c r="G36" s="308"/>
      <c r="H36" s="308"/>
      <c r="I36" s="308"/>
      <c r="J36" s="307">
        <f>L36+O36</f>
        <v>0</v>
      </c>
      <c r="K36" s="308"/>
      <c r="L36" s="308"/>
      <c r="M36" s="308"/>
      <c r="N36" s="308"/>
      <c r="O36" s="288">
        <f>K36</f>
        <v>0</v>
      </c>
      <c r="P36" s="307">
        <f>E36+J36</f>
        <v>1925000</v>
      </c>
      <c r="R36" s="137"/>
    </row>
    <row r="37" spans="1:18" s="119" customFormat="1" ht="46.5" x14ac:dyDescent="0.2">
      <c r="A37" s="311" t="s">
        <v>311</v>
      </c>
      <c r="B37" s="311" t="s">
        <v>312</v>
      </c>
      <c r="C37" s="311" t="s">
        <v>313</v>
      </c>
      <c r="D37" s="311" t="s">
        <v>67</v>
      </c>
      <c r="E37" s="430">
        <f>F37</f>
        <v>0</v>
      </c>
      <c r="F37" s="308">
        <f>(2700000)-2700000</f>
        <v>0</v>
      </c>
      <c r="G37" s="308"/>
      <c r="H37" s="308"/>
      <c r="I37" s="308"/>
      <c r="J37" s="307">
        <f t="shared" ref="J37" si="25">L37+O37</f>
        <v>4340000</v>
      </c>
      <c r="K37" s="308">
        <f>(5000000)-848138-1751862+1440000+500000</f>
        <v>4340000</v>
      </c>
      <c r="L37" s="308"/>
      <c r="M37" s="308"/>
      <c r="N37" s="308"/>
      <c r="O37" s="288">
        <f t="shared" si="23"/>
        <v>4340000</v>
      </c>
      <c r="P37" s="307">
        <f t="shared" si="24"/>
        <v>4340000</v>
      </c>
      <c r="R37" s="137" t="b">
        <f>K37='dod5'!I30</f>
        <v>1</v>
      </c>
    </row>
    <row r="38" spans="1:18" ht="135" x14ac:dyDescent="0.2">
      <c r="A38" s="280" t="s">
        <v>235</v>
      </c>
      <c r="B38" s="280"/>
      <c r="C38" s="280"/>
      <c r="D38" s="281" t="s">
        <v>36</v>
      </c>
      <c r="E38" s="282">
        <f>E39</f>
        <v>366679596.38</v>
      </c>
      <c r="F38" s="282">
        <f t="shared" ref="F38" si="26">F39</f>
        <v>366679596.38</v>
      </c>
      <c r="G38" s="282">
        <f t="shared" ref="G38" si="27">G39</f>
        <v>3641900</v>
      </c>
      <c r="H38" s="282">
        <f>H39</f>
        <v>215400</v>
      </c>
      <c r="I38" s="282">
        <f t="shared" ref="I38" si="28">I39</f>
        <v>0</v>
      </c>
      <c r="J38" s="282">
        <f>J39</f>
        <v>37285758</v>
      </c>
      <c r="K38" s="282">
        <f>K39</f>
        <v>30689967</v>
      </c>
      <c r="L38" s="282">
        <f>L39</f>
        <v>5853391</v>
      </c>
      <c r="M38" s="282">
        <f t="shared" ref="M38" si="29">M39</f>
        <v>0</v>
      </c>
      <c r="N38" s="282">
        <f>N39</f>
        <v>0</v>
      </c>
      <c r="O38" s="282">
        <f>O39</f>
        <v>31432367</v>
      </c>
      <c r="P38" s="282">
        <f>P39</f>
        <v>403965354.38</v>
      </c>
    </row>
    <row r="39" spans="1:18" ht="135" x14ac:dyDescent="0.2">
      <c r="A39" s="283" t="s">
        <v>236</v>
      </c>
      <c r="B39" s="283"/>
      <c r="C39" s="283"/>
      <c r="D39" s="284" t="s">
        <v>59</v>
      </c>
      <c r="E39" s="285">
        <f>SUM(E40:E51)</f>
        <v>366679596.38</v>
      </c>
      <c r="F39" s="285">
        <f t="shared" ref="F39:H39" si="30">SUM(F40:F51)</f>
        <v>366679596.38</v>
      </c>
      <c r="G39" s="285">
        <f t="shared" si="30"/>
        <v>3641900</v>
      </c>
      <c r="H39" s="285">
        <f t="shared" si="30"/>
        <v>215400</v>
      </c>
      <c r="I39" s="285">
        <f>SUM(I40:I51)</f>
        <v>0</v>
      </c>
      <c r="J39" s="285">
        <f>L39+O39</f>
        <v>37285758</v>
      </c>
      <c r="K39" s="285">
        <f>SUM(K40:K51)</f>
        <v>30689967</v>
      </c>
      <c r="L39" s="285">
        <f t="shared" ref="L39:N39" si="31">SUM(L40:L51)</f>
        <v>5853391</v>
      </c>
      <c r="M39" s="285">
        <f t="shared" si="31"/>
        <v>0</v>
      </c>
      <c r="N39" s="285">
        <f t="shared" si="31"/>
        <v>0</v>
      </c>
      <c r="O39" s="285">
        <f>SUM(O40:O51)</f>
        <v>31432367</v>
      </c>
      <c r="P39" s="285">
        <f t="shared" ref="P39:P50" si="32">E39+J39</f>
        <v>403965354.38</v>
      </c>
      <c r="Q39" s="137" t="b">
        <f>P39=P41+P42+P43+P44+P45+P46+P47+P48+P49+P40+P50+P51</f>
        <v>1</v>
      </c>
      <c r="R39" s="137" t="b">
        <f>K39='dod5'!I31</f>
        <v>1</v>
      </c>
    </row>
    <row r="40" spans="1:18" ht="228.75" x14ac:dyDescent="0.2">
      <c r="A40" s="311" t="s">
        <v>712</v>
      </c>
      <c r="B40" s="311" t="s">
        <v>336</v>
      </c>
      <c r="C40" s="311" t="s">
        <v>334</v>
      </c>
      <c r="D40" s="311" t="s">
        <v>335</v>
      </c>
      <c r="E40" s="431">
        <f>F40</f>
        <v>2501100</v>
      </c>
      <c r="F40" s="276">
        <v>2501100</v>
      </c>
      <c r="G40" s="276">
        <v>1884600</v>
      </c>
      <c r="H40" s="276">
        <v>101500</v>
      </c>
      <c r="I40" s="276"/>
      <c r="J40" s="307">
        <f t="shared" ref="J40:J50" si="33">L40+O40</f>
        <v>0</v>
      </c>
      <c r="K40" s="307"/>
      <c r="L40" s="307"/>
      <c r="M40" s="307"/>
      <c r="N40" s="307"/>
      <c r="O40" s="288">
        <f>K40</f>
        <v>0</v>
      </c>
      <c r="P40" s="307">
        <f t="shared" si="32"/>
        <v>2501100</v>
      </c>
      <c r="Q40" s="137"/>
      <c r="R40" s="137"/>
    </row>
    <row r="41" spans="1:18" ht="91.5" x14ac:dyDescent="0.2">
      <c r="A41" s="311" t="s">
        <v>314</v>
      </c>
      <c r="B41" s="311" t="s">
        <v>310</v>
      </c>
      <c r="C41" s="311" t="s">
        <v>315</v>
      </c>
      <c r="D41" s="311" t="s">
        <v>37</v>
      </c>
      <c r="E41" s="307">
        <f>F41</f>
        <v>201217642</v>
      </c>
      <c r="F41" s="276">
        <f>(((190671412+426500+500000)-3985900+13242930-25000+167700)+200)+50000-277700+77700+200000+1000000-1000000+169800</f>
        <v>201217642</v>
      </c>
      <c r="G41" s="276"/>
      <c r="H41" s="276"/>
      <c r="I41" s="276"/>
      <c r="J41" s="307">
        <f t="shared" si="33"/>
        <v>22043414</v>
      </c>
      <c r="K41" s="276">
        <f>(12634714)+825600+352700+168400+1398400+160300+2700000+1108000+270000-37400</f>
        <v>19580714</v>
      </c>
      <c r="L41" s="276">
        <f>(4218000)-2055300</f>
        <v>2162700</v>
      </c>
      <c r="M41" s="276"/>
      <c r="N41" s="276"/>
      <c r="O41" s="288">
        <f>K41+300000</f>
        <v>19880714</v>
      </c>
      <c r="P41" s="307">
        <f t="shared" si="32"/>
        <v>223261056</v>
      </c>
      <c r="R41" s="137" t="b">
        <f>K41='dod5'!I33+'dod5'!I34+'dod5'!I35</f>
        <v>1</v>
      </c>
    </row>
    <row r="42" spans="1:18" ht="137.25" x14ac:dyDescent="0.2">
      <c r="A42" s="311" t="s">
        <v>316</v>
      </c>
      <c r="B42" s="311" t="s">
        <v>317</v>
      </c>
      <c r="C42" s="311" t="s">
        <v>318</v>
      </c>
      <c r="D42" s="311" t="s">
        <v>319</v>
      </c>
      <c r="E42" s="307">
        <f t="shared" ref="E42:E45" si="34">F42</f>
        <v>59883500</v>
      </c>
      <c r="F42" s="276">
        <f>(59783500)+100000</f>
        <v>59883500</v>
      </c>
      <c r="G42" s="276"/>
      <c r="H42" s="276"/>
      <c r="I42" s="276"/>
      <c r="J42" s="307">
        <f t="shared" si="33"/>
        <v>472091</v>
      </c>
      <c r="K42" s="276">
        <v>126000</v>
      </c>
      <c r="L42" s="276">
        <f>(1038271)-692180</f>
        <v>346091</v>
      </c>
      <c r="M42" s="276"/>
      <c r="N42" s="276"/>
      <c r="O42" s="288">
        <f>K42</f>
        <v>126000</v>
      </c>
      <c r="P42" s="307">
        <f t="shared" si="32"/>
        <v>60355591</v>
      </c>
      <c r="R42" s="137" t="b">
        <f>K42='dod5'!I36</f>
        <v>1</v>
      </c>
    </row>
    <row r="43" spans="1:18" ht="137.25" x14ac:dyDescent="0.2">
      <c r="A43" s="311" t="s">
        <v>320</v>
      </c>
      <c r="B43" s="311" t="s">
        <v>321</v>
      </c>
      <c r="C43" s="311" t="s">
        <v>322</v>
      </c>
      <c r="D43" s="311" t="s">
        <v>541</v>
      </c>
      <c r="E43" s="307">
        <f t="shared" si="34"/>
        <v>61625370</v>
      </c>
      <c r="F43" s="276">
        <f>((57684870)+3985900-234000)+188600</f>
        <v>61625370</v>
      </c>
      <c r="G43" s="276"/>
      <c r="H43" s="276"/>
      <c r="I43" s="276"/>
      <c r="J43" s="307">
        <f t="shared" si="33"/>
        <v>2706300</v>
      </c>
      <c r="K43" s="276">
        <f>939600-99000</f>
        <v>840600</v>
      </c>
      <c r="L43" s="276">
        <f>(5254900)-3731600</f>
        <v>1523300</v>
      </c>
      <c r="M43" s="276"/>
      <c r="N43" s="276"/>
      <c r="O43" s="288">
        <f>K43+342400</f>
        <v>1183000</v>
      </c>
      <c r="P43" s="307">
        <f t="shared" si="32"/>
        <v>64331670</v>
      </c>
      <c r="R43" s="137" t="b">
        <f>K43='dod5'!I37</f>
        <v>1</v>
      </c>
    </row>
    <row r="44" spans="1:18" ht="91.5" x14ac:dyDescent="0.2">
      <c r="A44" s="311" t="s">
        <v>323</v>
      </c>
      <c r="B44" s="311" t="s">
        <v>324</v>
      </c>
      <c r="C44" s="311" t="s">
        <v>325</v>
      </c>
      <c r="D44" s="311" t="s">
        <v>326</v>
      </c>
      <c r="E44" s="307">
        <f t="shared" si="34"/>
        <v>9871950</v>
      </c>
      <c r="F44" s="276">
        <f>9871950-949000+949000</f>
        <v>9871950</v>
      </c>
      <c r="G44" s="276"/>
      <c r="H44" s="276"/>
      <c r="I44" s="276"/>
      <c r="J44" s="307">
        <f t="shared" si="33"/>
        <v>3499300</v>
      </c>
      <c r="K44" s="276">
        <f>1600000</f>
        <v>1600000</v>
      </c>
      <c r="L44" s="276">
        <f>(5397900)-3598600</f>
        <v>1799300</v>
      </c>
      <c r="M44" s="276"/>
      <c r="N44" s="276"/>
      <c r="O44" s="288">
        <f>K44+100000</f>
        <v>1700000</v>
      </c>
      <c r="P44" s="307">
        <f t="shared" si="32"/>
        <v>13371250</v>
      </c>
      <c r="R44" s="137" t="b">
        <f>K44='dod5'!I38</f>
        <v>1</v>
      </c>
    </row>
    <row r="45" spans="1:18" ht="183" x14ac:dyDescent="0.2">
      <c r="A45" s="311" t="s">
        <v>327</v>
      </c>
      <c r="B45" s="310" t="s">
        <v>328</v>
      </c>
      <c r="C45" s="310" t="s">
        <v>542</v>
      </c>
      <c r="D45" s="311" t="s">
        <v>329</v>
      </c>
      <c r="E45" s="307">
        <f t="shared" si="34"/>
        <v>8952218</v>
      </c>
      <c r="F45" s="276">
        <f>(8891316)+60902</f>
        <v>8952218</v>
      </c>
      <c r="G45" s="276"/>
      <c r="H45" s="276"/>
      <c r="I45" s="276"/>
      <c r="J45" s="307">
        <f t="shared" si="33"/>
        <v>0</v>
      </c>
      <c r="K45" s="276"/>
      <c r="L45" s="276"/>
      <c r="M45" s="276"/>
      <c r="N45" s="276"/>
      <c r="O45" s="288">
        <f t="shared" ref="O45:O51" si="35">K45</f>
        <v>0</v>
      </c>
      <c r="P45" s="307">
        <f t="shared" si="32"/>
        <v>8952218</v>
      </c>
      <c r="R45" s="137"/>
    </row>
    <row r="46" spans="1:18" ht="183" x14ac:dyDescent="0.2">
      <c r="A46" s="311" t="s">
        <v>581</v>
      </c>
      <c r="B46" s="311" t="s">
        <v>582</v>
      </c>
      <c r="C46" s="310" t="s">
        <v>330</v>
      </c>
      <c r="D46" s="291" t="s">
        <v>583</v>
      </c>
      <c r="E46" s="307">
        <f t="shared" ref="E46:E47" si="36">F46</f>
        <v>13400746.379999999</v>
      </c>
      <c r="F46" s="276">
        <f>(8972700)+4428046.38</f>
        <v>13400746.379999999</v>
      </c>
      <c r="G46" s="276"/>
      <c r="H46" s="276"/>
      <c r="I46" s="276"/>
      <c r="J46" s="307">
        <f t="shared" si="33"/>
        <v>0</v>
      </c>
      <c r="K46" s="276"/>
      <c r="L46" s="276"/>
      <c r="M46" s="276"/>
      <c r="N46" s="276"/>
      <c r="O46" s="288">
        <f t="shared" si="35"/>
        <v>0</v>
      </c>
      <c r="P46" s="307">
        <f t="shared" si="32"/>
        <v>13400746.379999999</v>
      </c>
      <c r="R46" s="137"/>
    </row>
    <row r="47" spans="1:18" ht="183" x14ac:dyDescent="0.2">
      <c r="A47" s="311" t="s">
        <v>586</v>
      </c>
      <c r="B47" s="311" t="s">
        <v>585</v>
      </c>
      <c r="C47" s="310" t="s">
        <v>330</v>
      </c>
      <c r="D47" s="291" t="s">
        <v>584</v>
      </c>
      <c r="E47" s="307">
        <f t="shared" si="36"/>
        <v>1734200</v>
      </c>
      <c r="F47" s="276">
        <v>1734200</v>
      </c>
      <c r="G47" s="276"/>
      <c r="H47" s="276"/>
      <c r="I47" s="276"/>
      <c r="J47" s="307">
        <f t="shared" si="33"/>
        <v>0</v>
      </c>
      <c r="K47" s="276"/>
      <c r="L47" s="276"/>
      <c r="M47" s="276"/>
      <c r="N47" s="276"/>
      <c r="O47" s="288">
        <f t="shared" si="35"/>
        <v>0</v>
      </c>
      <c r="P47" s="307">
        <f t="shared" si="32"/>
        <v>1734200</v>
      </c>
      <c r="R47" s="137"/>
    </row>
    <row r="48" spans="1:18" s="119" customFormat="1" ht="137.25" x14ac:dyDescent="0.2">
      <c r="A48" s="311" t="s">
        <v>498</v>
      </c>
      <c r="B48" s="311" t="s">
        <v>500</v>
      </c>
      <c r="C48" s="310" t="s">
        <v>330</v>
      </c>
      <c r="D48" s="291" t="s">
        <v>496</v>
      </c>
      <c r="E48" s="307">
        <f t="shared" ref="E48:E50" si="37">F48</f>
        <v>2416670</v>
      </c>
      <c r="F48" s="276">
        <f>(2416670)</f>
        <v>2416670</v>
      </c>
      <c r="G48" s="276">
        <v>1757300</v>
      </c>
      <c r="H48" s="276">
        <f>(113600)+300</f>
        <v>113900</v>
      </c>
      <c r="I48" s="276"/>
      <c r="J48" s="307">
        <f t="shared" si="33"/>
        <v>129704</v>
      </c>
      <c r="K48" s="276">
        <f>167704-60000</f>
        <v>107704</v>
      </c>
      <c r="L48" s="276">
        <v>22000</v>
      </c>
      <c r="M48" s="276"/>
      <c r="N48" s="276"/>
      <c r="O48" s="288">
        <f t="shared" si="35"/>
        <v>107704</v>
      </c>
      <c r="P48" s="307">
        <f t="shared" si="32"/>
        <v>2546374</v>
      </c>
      <c r="R48" s="137" t="b">
        <f>K48='dod5'!I39</f>
        <v>1</v>
      </c>
    </row>
    <row r="49" spans="1:20" s="119" customFormat="1" ht="91.5" x14ac:dyDescent="0.2">
      <c r="A49" s="311" t="s">
        <v>499</v>
      </c>
      <c r="B49" s="311" t="s">
        <v>501</v>
      </c>
      <c r="C49" s="310" t="s">
        <v>330</v>
      </c>
      <c r="D49" s="291" t="s">
        <v>497</v>
      </c>
      <c r="E49" s="307">
        <f t="shared" si="37"/>
        <v>4926200</v>
      </c>
      <c r="F49" s="276">
        <f>((3360000)+949000+126200-949000+576000)+864000</f>
        <v>4926200</v>
      </c>
      <c r="G49" s="276"/>
      <c r="H49" s="276"/>
      <c r="I49" s="276"/>
      <c r="J49" s="307">
        <f t="shared" si="33"/>
        <v>0</v>
      </c>
      <c r="K49" s="276"/>
      <c r="L49" s="276"/>
      <c r="M49" s="276"/>
      <c r="N49" s="276"/>
      <c r="O49" s="288">
        <f t="shared" si="35"/>
        <v>0</v>
      </c>
      <c r="P49" s="307">
        <f t="shared" si="32"/>
        <v>4926200</v>
      </c>
      <c r="R49" s="137"/>
    </row>
    <row r="50" spans="1:20" s="119" customFormat="1" ht="91.5" x14ac:dyDescent="0.2">
      <c r="A50" s="311" t="s">
        <v>874</v>
      </c>
      <c r="B50" s="311" t="s">
        <v>288</v>
      </c>
      <c r="C50" s="311" t="s">
        <v>251</v>
      </c>
      <c r="D50" s="311" t="s">
        <v>57</v>
      </c>
      <c r="E50" s="307">
        <f t="shared" si="37"/>
        <v>0</v>
      </c>
      <c r="F50" s="276"/>
      <c r="G50" s="276"/>
      <c r="H50" s="276"/>
      <c r="I50" s="276"/>
      <c r="J50" s="307">
        <f t="shared" si="33"/>
        <v>6890192</v>
      </c>
      <c r="K50" s="276">
        <f>(200000+600000+208200+167638+7587376+25000-208200-167638-1600000+130216)+390000+37400-500000-11300+11300+80000-390000+96000+192200+42000</f>
        <v>6890192</v>
      </c>
      <c r="L50" s="276"/>
      <c r="M50" s="276"/>
      <c r="N50" s="276"/>
      <c r="O50" s="288">
        <f t="shared" si="35"/>
        <v>6890192</v>
      </c>
      <c r="P50" s="307">
        <f t="shared" si="32"/>
        <v>6890192</v>
      </c>
      <c r="R50" s="137" t="b">
        <f>K50='dod5'!I40+'dod5'!I41+'dod5'!I42</f>
        <v>1</v>
      </c>
    </row>
    <row r="51" spans="1:20" s="119" customFormat="1" ht="91.5" x14ac:dyDescent="0.2">
      <c r="A51" s="311" t="s">
        <v>876</v>
      </c>
      <c r="B51" s="311" t="s">
        <v>591</v>
      </c>
      <c r="C51" s="311" t="s">
        <v>71</v>
      </c>
      <c r="D51" s="311" t="s">
        <v>592</v>
      </c>
      <c r="E51" s="307">
        <f t="shared" ref="E51" si="38">F51</f>
        <v>150000</v>
      </c>
      <c r="F51" s="276">
        <f>(100000)+50000</f>
        <v>150000</v>
      </c>
      <c r="G51" s="276"/>
      <c r="H51" s="276"/>
      <c r="I51" s="276"/>
      <c r="J51" s="307">
        <f t="shared" ref="J51" si="39">L51+O51</f>
        <v>1544757</v>
      </c>
      <c r="K51" s="276">
        <f>(935992+218765)+390000</f>
        <v>1544757</v>
      </c>
      <c r="L51" s="276"/>
      <c r="M51" s="276"/>
      <c r="N51" s="276"/>
      <c r="O51" s="288">
        <f t="shared" si="35"/>
        <v>1544757</v>
      </c>
      <c r="P51" s="307">
        <f t="shared" ref="P51" si="40">E51+J51</f>
        <v>1694757</v>
      </c>
      <c r="R51" s="137" t="b">
        <f>K51='dod5'!I43</f>
        <v>1</v>
      </c>
    </row>
    <row r="52" spans="1:20" ht="225" x14ac:dyDescent="0.2">
      <c r="A52" s="280" t="s">
        <v>237</v>
      </c>
      <c r="B52" s="280"/>
      <c r="C52" s="280"/>
      <c r="D52" s="281" t="s">
        <v>60</v>
      </c>
      <c r="E52" s="282">
        <f>E53</f>
        <v>700460285</v>
      </c>
      <c r="F52" s="282">
        <f t="shared" ref="F52" si="41">F53</f>
        <v>700460285</v>
      </c>
      <c r="G52" s="282">
        <f t="shared" ref="G52" si="42">G53</f>
        <v>45497797</v>
      </c>
      <c r="H52" s="282">
        <f>H53</f>
        <v>1804796</v>
      </c>
      <c r="I52" s="282">
        <f t="shared" ref="I52" si="43">I53</f>
        <v>0</v>
      </c>
      <c r="J52" s="282">
        <f>J53</f>
        <v>24820430.48</v>
      </c>
      <c r="K52" s="282">
        <f>K53</f>
        <v>24279525.48</v>
      </c>
      <c r="L52" s="282">
        <f>L53</f>
        <v>540905</v>
      </c>
      <c r="M52" s="282">
        <f t="shared" ref="M52" si="44">M53</f>
        <v>60000</v>
      </c>
      <c r="N52" s="282">
        <f>N53</f>
        <v>4000</v>
      </c>
      <c r="O52" s="282">
        <f>O53</f>
        <v>24279525.48</v>
      </c>
      <c r="P52" s="282">
        <f>P53</f>
        <v>725280715.48000002</v>
      </c>
    </row>
    <row r="53" spans="1:20" ht="225" x14ac:dyDescent="0.2">
      <c r="A53" s="283" t="s">
        <v>238</v>
      </c>
      <c r="B53" s="283"/>
      <c r="C53" s="283"/>
      <c r="D53" s="284" t="s">
        <v>61</v>
      </c>
      <c r="E53" s="285">
        <f>SUM(E54:E105)</f>
        <v>700460285</v>
      </c>
      <c r="F53" s="285">
        <f>SUM(F54:F105)</f>
        <v>700460285</v>
      </c>
      <c r="G53" s="285">
        <f>SUM(G54:G105)</f>
        <v>45497797</v>
      </c>
      <c r="H53" s="285">
        <f>SUM(H54:H105)</f>
        <v>1804796</v>
      </c>
      <c r="I53" s="285">
        <f>SUM(I54:I105)</f>
        <v>0</v>
      </c>
      <c r="J53" s="285">
        <f t="shared" ref="J53:J96" si="45">L53+O53</f>
        <v>24820430.48</v>
      </c>
      <c r="K53" s="285">
        <f>SUM(K54:K105)</f>
        <v>24279525.48</v>
      </c>
      <c r="L53" s="285">
        <f>SUM(L54:L105)</f>
        <v>540905</v>
      </c>
      <c r="M53" s="285">
        <f>SUM(M54:M105)</f>
        <v>60000</v>
      </c>
      <c r="N53" s="285">
        <f>SUM(N54:N105)</f>
        <v>4000</v>
      </c>
      <c r="O53" s="285">
        <f>SUM(O54:O105)</f>
        <v>24279525.48</v>
      </c>
      <c r="P53" s="285">
        <f t="shared" ref="P53:P83" si="46">E53+J53</f>
        <v>725280715.48000002</v>
      </c>
      <c r="Q53" s="148" t="b">
        <f>P53=P55+P56+P57+P58+P59+P60+P61+P62+P63+P64+P65+P66+P67+P68+P69+P70+P72+P73+P74+P75+P76+P77+P81+P82+P83+P84+P85+P86+P87+P88+P96+P99+P100+P101+P89+P103+P54+P104+P78+P71+P80+P90+P93+P102</f>
        <v>1</v>
      </c>
      <c r="R53" s="149" t="b">
        <f>K53='dod5'!I45</f>
        <v>1</v>
      </c>
      <c r="T53" s="148"/>
    </row>
    <row r="54" spans="1:20" ht="228.75" x14ac:dyDescent="0.2">
      <c r="A54" s="311" t="s">
        <v>711</v>
      </c>
      <c r="B54" s="311" t="s">
        <v>336</v>
      </c>
      <c r="C54" s="311" t="s">
        <v>334</v>
      </c>
      <c r="D54" s="311" t="s">
        <v>335</v>
      </c>
      <c r="E54" s="430">
        <f t="shared" ref="E54:E58" si="47">F54</f>
        <v>36209100</v>
      </c>
      <c r="F54" s="276">
        <f>((35993100)+100000+100000+65000)+15000+25000+25000-66600+1600-49000</f>
        <v>36209100</v>
      </c>
      <c r="G54" s="276">
        <v>26800000</v>
      </c>
      <c r="H54" s="276">
        <f>(1006600)-66600+1600-49000</f>
        <v>892600</v>
      </c>
      <c r="I54" s="276"/>
      <c r="J54" s="307">
        <f t="shared" si="45"/>
        <v>499000</v>
      </c>
      <c r="K54" s="276">
        <f>(450000)+49000</f>
        <v>499000</v>
      </c>
      <c r="L54" s="276"/>
      <c r="M54" s="276"/>
      <c r="N54" s="276"/>
      <c r="O54" s="288">
        <f>K54</f>
        <v>499000</v>
      </c>
      <c r="P54" s="309">
        <f t="shared" si="46"/>
        <v>36708100</v>
      </c>
      <c r="Q54" s="148"/>
      <c r="R54" s="149" t="b">
        <f>K54='dod5'!I46</f>
        <v>1</v>
      </c>
      <c r="T54" s="148"/>
    </row>
    <row r="55" spans="1:20" ht="183" x14ac:dyDescent="0.2">
      <c r="A55" s="310" t="s">
        <v>351</v>
      </c>
      <c r="B55" s="310" t="s">
        <v>352</v>
      </c>
      <c r="C55" s="310" t="s">
        <v>297</v>
      </c>
      <c r="D55" s="292" t="s">
        <v>350</v>
      </c>
      <c r="E55" s="309">
        <f t="shared" si="47"/>
        <v>74918555.920000002</v>
      </c>
      <c r="F55" s="308">
        <f>(70418585.58)+4499970.34</f>
        <v>74918555.920000002</v>
      </c>
      <c r="G55" s="308"/>
      <c r="H55" s="308"/>
      <c r="I55" s="308"/>
      <c r="J55" s="307">
        <f t="shared" si="45"/>
        <v>0</v>
      </c>
      <c r="K55" s="308"/>
      <c r="L55" s="308"/>
      <c r="M55" s="308"/>
      <c r="N55" s="308"/>
      <c r="O55" s="288">
        <f t="shared" ref="O55:O96" si="48">K55</f>
        <v>0</v>
      </c>
      <c r="P55" s="309">
        <f t="shared" si="46"/>
        <v>74918555.920000002</v>
      </c>
      <c r="R55" s="149"/>
    </row>
    <row r="56" spans="1:20" ht="183" x14ac:dyDescent="0.2">
      <c r="A56" s="293" t="s">
        <v>370</v>
      </c>
      <c r="B56" s="310" t="s">
        <v>371</v>
      </c>
      <c r="C56" s="310" t="s">
        <v>79</v>
      </c>
      <c r="D56" s="311" t="s">
        <v>8</v>
      </c>
      <c r="E56" s="278">
        <f t="shared" si="47"/>
        <v>73735644.079999998</v>
      </c>
      <c r="F56" s="276">
        <v>73735644.079999998</v>
      </c>
      <c r="G56" s="276"/>
      <c r="H56" s="276"/>
      <c r="I56" s="276"/>
      <c r="J56" s="307">
        <f t="shared" si="45"/>
        <v>0</v>
      </c>
      <c r="K56" s="308"/>
      <c r="L56" s="276"/>
      <c r="M56" s="276"/>
      <c r="N56" s="276"/>
      <c r="O56" s="288">
        <f t="shared" si="48"/>
        <v>0</v>
      </c>
      <c r="P56" s="307">
        <f t="shared" si="46"/>
        <v>73735644.079999998</v>
      </c>
      <c r="R56" s="149"/>
    </row>
    <row r="57" spans="1:20" ht="274.5" x14ac:dyDescent="0.2">
      <c r="A57" s="311" t="s">
        <v>373</v>
      </c>
      <c r="B57" s="311" t="s">
        <v>374</v>
      </c>
      <c r="C57" s="311" t="s">
        <v>297</v>
      </c>
      <c r="D57" s="269" t="s">
        <v>372</v>
      </c>
      <c r="E57" s="309">
        <f t="shared" si="47"/>
        <v>3000</v>
      </c>
      <c r="F57" s="308">
        <v>3000</v>
      </c>
      <c r="G57" s="308"/>
      <c r="H57" s="308"/>
      <c r="I57" s="308"/>
      <c r="J57" s="307">
        <f t="shared" si="45"/>
        <v>0</v>
      </c>
      <c r="K57" s="308"/>
      <c r="L57" s="308"/>
      <c r="M57" s="308"/>
      <c r="N57" s="308"/>
      <c r="O57" s="288">
        <f t="shared" si="48"/>
        <v>0</v>
      </c>
      <c r="P57" s="309">
        <f t="shared" si="46"/>
        <v>3000</v>
      </c>
      <c r="R57" s="149"/>
    </row>
    <row r="58" spans="1:20" ht="228.75" x14ac:dyDescent="0.2">
      <c r="A58" s="311" t="s">
        <v>375</v>
      </c>
      <c r="B58" s="311" t="s">
        <v>376</v>
      </c>
      <c r="C58" s="269">
        <v>1060</v>
      </c>
      <c r="D58" s="294" t="s">
        <v>19</v>
      </c>
      <c r="E58" s="307">
        <f t="shared" si="47"/>
        <v>46300</v>
      </c>
      <c r="F58" s="276">
        <f>44700+1600</f>
        <v>46300</v>
      </c>
      <c r="G58" s="276"/>
      <c r="H58" s="276"/>
      <c r="I58" s="276"/>
      <c r="J58" s="307">
        <f t="shared" si="45"/>
        <v>0</v>
      </c>
      <c r="K58" s="276"/>
      <c r="L58" s="276"/>
      <c r="M58" s="276"/>
      <c r="N58" s="276"/>
      <c r="O58" s="288">
        <f t="shared" si="48"/>
        <v>0</v>
      </c>
      <c r="P58" s="307">
        <f t="shared" si="46"/>
        <v>46300</v>
      </c>
      <c r="R58" s="149"/>
    </row>
    <row r="59" spans="1:20" s="119" customFormat="1" ht="137.25" x14ac:dyDescent="0.2">
      <c r="A59" s="310" t="s">
        <v>401</v>
      </c>
      <c r="B59" s="310" t="s">
        <v>402</v>
      </c>
      <c r="C59" s="310" t="s">
        <v>297</v>
      </c>
      <c r="D59" s="292" t="s">
        <v>403</v>
      </c>
      <c r="E59" s="309">
        <f>F59</f>
        <v>512970</v>
      </c>
      <c r="F59" s="308">
        <f>(322970)+190000</f>
        <v>512970</v>
      </c>
      <c r="G59" s="308"/>
      <c r="H59" s="308"/>
      <c r="I59" s="308"/>
      <c r="J59" s="307">
        <f t="shared" si="45"/>
        <v>100000</v>
      </c>
      <c r="K59" s="308">
        <v>100000</v>
      </c>
      <c r="L59" s="308"/>
      <c r="M59" s="308"/>
      <c r="N59" s="308"/>
      <c r="O59" s="288">
        <f t="shared" si="48"/>
        <v>100000</v>
      </c>
      <c r="P59" s="309">
        <f t="shared" si="46"/>
        <v>612970</v>
      </c>
      <c r="R59" s="149" t="b">
        <f>K59='dod5'!I47</f>
        <v>1</v>
      </c>
    </row>
    <row r="60" spans="1:20" s="119" customFormat="1" ht="137.25" x14ac:dyDescent="0.2">
      <c r="A60" s="311" t="s">
        <v>404</v>
      </c>
      <c r="B60" s="311" t="s">
        <v>405</v>
      </c>
      <c r="C60" s="311" t="s">
        <v>298</v>
      </c>
      <c r="D60" s="311" t="s">
        <v>16</v>
      </c>
      <c r="E60" s="307">
        <f t="shared" ref="E60:E86" si="49">F60</f>
        <v>1410000</v>
      </c>
      <c r="F60" s="276">
        <f>(1360000)+50000</f>
        <v>1410000</v>
      </c>
      <c r="G60" s="276"/>
      <c r="H60" s="276"/>
      <c r="I60" s="276"/>
      <c r="J60" s="307">
        <f t="shared" si="45"/>
        <v>0</v>
      </c>
      <c r="K60" s="276"/>
      <c r="L60" s="276"/>
      <c r="M60" s="276"/>
      <c r="N60" s="276"/>
      <c r="O60" s="288">
        <f t="shared" si="48"/>
        <v>0</v>
      </c>
      <c r="P60" s="307">
        <f t="shared" si="46"/>
        <v>1410000</v>
      </c>
      <c r="R60" s="149"/>
    </row>
    <row r="61" spans="1:20" s="119" customFormat="1" ht="183" x14ac:dyDescent="0.2">
      <c r="A61" s="311" t="s">
        <v>407</v>
      </c>
      <c r="B61" s="311" t="s">
        <v>408</v>
      </c>
      <c r="C61" s="311" t="s">
        <v>298</v>
      </c>
      <c r="D61" s="310" t="s">
        <v>17</v>
      </c>
      <c r="E61" s="307">
        <f t="shared" si="49"/>
        <v>8000000</v>
      </c>
      <c r="F61" s="276">
        <v>8000000</v>
      </c>
      <c r="G61" s="276"/>
      <c r="H61" s="276"/>
      <c r="I61" s="276"/>
      <c r="J61" s="307">
        <f t="shared" si="45"/>
        <v>0</v>
      </c>
      <c r="K61" s="276"/>
      <c r="L61" s="276"/>
      <c r="M61" s="276"/>
      <c r="N61" s="276"/>
      <c r="O61" s="288">
        <f t="shared" si="48"/>
        <v>0</v>
      </c>
      <c r="P61" s="307">
        <f t="shared" si="46"/>
        <v>8000000</v>
      </c>
      <c r="R61" s="149"/>
    </row>
    <row r="62" spans="1:20" s="119" customFormat="1" ht="183" x14ac:dyDescent="0.2">
      <c r="A62" s="310" t="s">
        <v>409</v>
      </c>
      <c r="B62" s="310" t="s">
        <v>406</v>
      </c>
      <c r="C62" s="310" t="s">
        <v>298</v>
      </c>
      <c r="D62" s="310" t="s">
        <v>18</v>
      </c>
      <c r="E62" s="307">
        <f t="shared" si="49"/>
        <v>600000</v>
      </c>
      <c r="F62" s="276">
        <v>600000</v>
      </c>
      <c r="G62" s="276"/>
      <c r="H62" s="276"/>
      <c r="I62" s="276"/>
      <c r="J62" s="307">
        <f t="shared" si="45"/>
        <v>0</v>
      </c>
      <c r="K62" s="276"/>
      <c r="L62" s="276"/>
      <c r="M62" s="276"/>
      <c r="N62" s="276"/>
      <c r="O62" s="288">
        <f t="shared" si="48"/>
        <v>0</v>
      </c>
      <c r="P62" s="307">
        <f t="shared" si="46"/>
        <v>600000</v>
      </c>
      <c r="R62" s="149"/>
    </row>
    <row r="63" spans="1:20" s="119" customFormat="1" ht="183" x14ac:dyDescent="0.2">
      <c r="A63" s="310" t="s">
        <v>410</v>
      </c>
      <c r="B63" s="310" t="s">
        <v>411</v>
      </c>
      <c r="C63" s="310" t="s">
        <v>298</v>
      </c>
      <c r="D63" s="310" t="s">
        <v>21</v>
      </c>
      <c r="E63" s="307">
        <f t="shared" si="49"/>
        <v>89000000</v>
      </c>
      <c r="F63" s="276">
        <f>(82000000)+7000000</f>
        <v>89000000</v>
      </c>
      <c r="G63" s="276"/>
      <c r="H63" s="276"/>
      <c r="I63" s="276"/>
      <c r="J63" s="307">
        <f t="shared" si="45"/>
        <v>0</v>
      </c>
      <c r="K63" s="276"/>
      <c r="L63" s="276"/>
      <c r="M63" s="276"/>
      <c r="N63" s="276"/>
      <c r="O63" s="288">
        <f t="shared" si="48"/>
        <v>0</v>
      </c>
      <c r="P63" s="307">
        <f t="shared" si="46"/>
        <v>89000000</v>
      </c>
      <c r="R63" s="149"/>
    </row>
    <row r="64" spans="1:20" s="119" customFormat="1" ht="91.5" x14ac:dyDescent="0.2">
      <c r="A64" s="311" t="s">
        <v>361</v>
      </c>
      <c r="B64" s="311" t="s">
        <v>353</v>
      </c>
      <c r="C64" s="311" t="s">
        <v>274</v>
      </c>
      <c r="D64" s="311" t="s">
        <v>10</v>
      </c>
      <c r="E64" s="307">
        <f t="shared" si="49"/>
        <v>2814000</v>
      </c>
      <c r="F64" s="276">
        <v>2814000</v>
      </c>
      <c r="G64" s="276"/>
      <c r="H64" s="276"/>
      <c r="I64" s="276"/>
      <c r="J64" s="307">
        <f t="shared" si="45"/>
        <v>0</v>
      </c>
      <c r="K64" s="276"/>
      <c r="L64" s="276"/>
      <c r="M64" s="276"/>
      <c r="N64" s="276"/>
      <c r="O64" s="288">
        <f t="shared" si="48"/>
        <v>0</v>
      </c>
      <c r="P64" s="307">
        <f t="shared" si="46"/>
        <v>2814000</v>
      </c>
      <c r="R64" s="149"/>
    </row>
    <row r="65" spans="1:20" s="119" customFormat="1" ht="91.5" x14ac:dyDescent="0.2">
      <c r="A65" s="311" t="s">
        <v>362</v>
      </c>
      <c r="B65" s="311" t="s">
        <v>354</v>
      </c>
      <c r="C65" s="311" t="s">
        <v>274</v>
      </c>
      <c r="D65" s="311" t="s">
        <v>360</v>
      </c>
      <c r="E65" s="307">
        <f>F65</f>
        <v>571520</v>
      </c>
      <c r="F65" s="276">
        <f>(371520)+200000</f>
        <v>571520</v>
      </c>
      <c r="G65" s="276"/>
      <c r="H65" s="276"/>
      <c r="I65" s="276"/>
      <c r="J65" s="307">
        <f t="shared" si="45"/>
        <v>0</v>
      </c>
      <c r="K65" s="276"/>
      <c r="L65" s="276"/>
      <c r="M65" s="276"/>
      <c r="N65" s="276"/>
      <c r="O65" s="288">
        <f t="shared" si="48"/>
        <v>0</v>
      </c>
      <c r="P65" s="307">
        <f t="shared" si="46"/>
        <v>571520</v>
      </c>
      <c r="R65" s="149"/>
    </row>
    <row r="66" spans="1:20" s="119" customFormat="1" ht="91.5" x14ac:dyDescent="0.2">
      <c r="A66" s="311" t="s">
        <v>363</v>
      </c>
      <c r="B66" s="311" t="s">
        <v>355</v>
      </c>
      <c r="C66" s="311" t="s">
        <v>274</v>
      </c>
      <c r="D66" s="311" t="s">
        <v>11</v>
      </c>
      <c r="E66" s="307">
        <f t="shared" si="49"/>
        <v>135281196</v>
      </c>
      <c r="F66" s="276">
        <f>(157736000-225000-21813780)-416024</f>
        <v>135281196</v>
      </c>
      <c r="G66" s="276"/>
      <c r="H66" s="276"/>
      <c r="I66" s="276"/>
      <c r="J66" s="307">
        <f t="shared" si="45"/>
        <v>0</v>
      </c>
      <c r="K66" s="276"/>
      <c r="L66" s="276"/>
      <c r="M66" s="276"/>
      <c r="N66" s="276"/>
      <c r="O66" s="288">
        <f t="shared" si="48"/>
        <v>0</v>
      </c>
      <c r="P66" s="307">
        <f t="shared" si="46"/>
        <v>135281196</v>
      </c>
      <c r="R66" s="149"/>
    </row>
    <row r="67" spans="1:20" s="119" customFormat="1" ht="137.25" x14ac:dyDescent="0.2">
      <c r="A67" s="311" t="s">
        <v>364</v>
      </c>
      <c r="B67" s="311" t="s">
        <v>356</v>
      </c>
      <c r="C67" s="311" t="s">
        <v>274</v>
      </c>
      <c r="D67" s="311" t="s">
        <v>12</v>
      </c>
      <c r="E67" s="307">
        <f t="shared" si="49"/>
        <v>4266000</v>
      </c>
      <c r="F67" s="276">
        <v>4266000</v>
      </c>
      <c r="G67" s="276"/>
      <c r="H67" s="276"/>
      <c r="I67" s="276"/>
      <c r="J67" s="307">
        <f t="shared" si="45"/>
        <v>0</v>
      </c>
      <c r="K67" s="276"/>
      <c r="L67" s="276"/>
      <c r="M67" s="276"/>
      <c r="N67" s="276"/>
      <c r="O67" s="288">
        <f t="shared" si="48"/>
        <v>0</v>
      </c>
      <c r="P67" s="307">
        <f t="shared" si="46"/>
        <v>4266000</v>
      </c>
      <c r="R67" s="149"/>
    </row>
    <row r="68" spans="1:20" s="119" customFormat="1" ht="91.5" x14ac:dyDescent="0.2">
      <c r="A68" s="311" t="s">
        <v>365</v>
      </c>
      <c r="B68" s="311" t="s">
        <v>357</v>
      </c>
      <c r="C68" s="311" t="s">
        <v>274</v>
      </c>
      <c r="D68" s="311" t="s">
        <v>13</v>
      </c>
      <c r="E68" s="307">
        <f t="shared" si="49"/>
        <v>27062400</v>
      </c>
      <c r="F68" s="276">
        <v>27062400</v>
      </c>
      <c r="G68" s="276"/>
      <c r="H68" s="276"/>
      <c r="I68" s="276"/>
      <c r="J68" s="307">
        <f t="shared" si="45"/>
        <v>0</v>
      </c>
      <c r="K68" s="276"/>
      <c r="L68" s="276"/>
      <c r="M68" s="276"/>
      <c r="N68" s="276"/>
      <c r="O68" s="288">
        <f t="shared" si="48"/>
        <v>0</v>
      </c>
      <c r="P68" s="307">
        <f t="shared" si="46"/>
        <v>27062400</v>
      </c>
      <c r="R68" s="149"/>
    </row>
    <row r="69" spans="1:20" s="119" customFormat="1" ht="91.5" x14ac:dyDescent="0.2">
      <c r="A69" s="311" t="s">
        <v>366</v>
      </c>
      <c r="B69" s="311" t="s">
        <v>358</v>
      </c>
      <c r="C69" s="311" t="s">
        <v>274</v>
      </c>
      <c r="D69" s="311" t="s">
        <v>14</v>
      </c>
      <c r="E69" s="307">
        <f t="shared" si="49"/>
        <v>2700000</v>
      </c>
      <c r="F69" s="276">
        <v>2700000</v>
      </c>
      <c r="G69" s="276"/>
      <c r="H69" s="276"/>
      <c r="I69" s="276"/>
      <c r="J69" s="307">
        <f t="shared" si="45"/>
        <v>0</v>
      </c>
      <c r="K69" s="276"/>
      <c r="L69" s="276"/>
      <c r="M69" s="276"/>
      <c r="N69" s="276"/>
      <c r="O69" s="288">
        <f t="shared" si="48"/>
        <v>0</v>
      </c>
      <c r="P69" s="307">
        <f t="shared" si="46"/>
        <v>2700000</v>
      </c>
      <c r="R69" s="149"/>
    </row>
    <row r="70" spans="1:20" s="119" customFormat="1" ht="137.25" x14ac:dyDescent="0.2">
      <c r="A70" s="311" t="s">
        <v>367</v>
      </c>
      <c r="B70" s="311" t="s">
        <v>359</v>
      </c>
      <c r="C70" s="311" t="s">
        <v>274</v>
      </c>
      <c r="D70" s="311" t="s">
        <v>15</v>
      </c>
      <c r="E70" s="307">
        <f t="shared" si="49"/>
        <v>39337958</v>
      </c>
      <c r="F70" s="276">
        <v>39337958</v>
      </c>
      <c r="G70" s="276"/>
      <c r="H70" s="276"/>
      <c r="I70" s="276"/>
      <c r="J70" s="307">
        <f t="shared" si="45"/>
        <v>0</v>
      </c>
      <c r="K70" s="276"/>
      <c r="L70" s="276"/>
      <c r="M70" s="276"/>
      <c r="N70" s="276"/>
      <c r="O70" s="288">
        <f t="shared" si="48"/>
        <v>0</v>
      </c>
      <c r="P70" s="307">
        <f t="shared" si="46"/>
        <v>39337958</v>
      </c>
      <c r="R70" s="149"/>
    </row>
    <row r="71" spans="1:20" s="119" customFormat="1" ht="137.25" x14ac:dyDescent="0.2">
      <c r="A71" s="311" t="s">
        <v>894</v>
      </c>
      <c r="B71" s="311" t="s">
        <v>896</v>
      </c>
      <c r="C71" s="311" t="s">
        <v>274</v>
      </c>
      <c r="D71" s="311" t="s">
        <v>895</v>
      </c>
      <c r="E71" s="307">
        <f t="shared" si="49"/>
        <v>963000</v>
      </c>
      <c r="F71" s="276">
        <f>(572760)+390240</f>
        <v>963000</v>
      </c>
      <c r="G71" s="276"/>
      <c r="H71" s="276"/>
      <c r="I71" s="276"/>
      <c r="J71" s="307">
        <f t="shared" si="45"/>
        <v>0</v>
      </c>
      <c r="K71" s="276"/>
      <c r="L71" s="276"/>
      <c r="M71" s="276"/>
      <c r="N71" s="276"/>
      <c r="O71" s="288">
        <f t="shared" si="48"/>
        <v>0</v>
      </c>
      <c r="P71" s="307">
        <f t="shared" si="46"/>
        <v>963000</v>
      </c>
      <c r="R71" s="149"/>
    </row>
    <row r="72" spans="1:20" ht="183" x14ac:dyDescent="0.2">
      <c r="A72" s="311" t="s">
        <v>377</v>
      </c>
      <c r="B72" s="311" t="s">
        <v>368</v>
      </c>
      <c r="C72" s="311" t="s">
        <v>298</v>
      </c>
      <c r="D72" s="311" t="s">
        <v>9</v>
      </c>
      <c r="E72" s="307">
        <f t="shared" si="49"/>
        <v>179080</v>
      </c>
      <c r="F72" s="276">
        <v>179080</v>
      </c>
      <c r="G72" s="276"/>
      <c r="H72" s="276"/>
      <c r="I72" s="276"/>
      <c r="J72" s="307">
        <f t="shared" si="45"/>
        <v>0</v>
      </c>
      <c r="K72" s="307"/>
      <c r="L72" s="276"/>
      <c r="M72" s="276"/>
      <c r="N72" s="276"/>
      <c r="O72" s="288">
        <f t="shared" si="48"/>
        <v>0</v>
      </c>
      <c r="P72" s="307">
        <f t="shared" si="46"/>
        <v>179080</v>
      </c>
      <c r="R72" s="149"/>
    </row>
    <row r="73" spans="1:20" s="119" customFormat="1" ht="183" x14ac:dyDescent="0.2">
      <c r="A73" s="311" t="s">
        <v>546</v>
      </c>
      <c r="B73" s="311" t="s">
        <v>547</v>
      </c>
      <c r="C73" s="311" t="s">
        <v>290</v>
      </c>
      <c r="D73" s="311" t="s">
        <v>545</v>
      </c>
      <c r="E73" s="307">
        <f t="shared" ref="E73:E77" si="50">F73</f>
        <v>78472603.400000006</v>
      </c>
      <c r="F73" s="276">
        <v>78472603.400000006</v>
      </c>
      <c r="G73" s="276"/>
      <c r="H73" s="276"/>
      <c r="I73" s="276"/>
      <c r="J73" s="307">
        <f t="shared" si="45"/>
        <v>0</v>
      </c>
      <c r="K73" s="276"/>
      <c r="L73" s="276"/>
      <c r="M73" s="276"/>
      <c r="N73" s="276"/>
      <c r="O73" s="288">
        <f t="shared" si="48"/>
        <v>0</v>
      </c>
      <c r="P73" s="307">
        <f t="shared" si="46"/>
        <v>78472603.400000006</v>
      </c>
      <c r="R73" s="149"/>
    </row>
    <row r="74" spans="1:20" s="119" customFormat="1" ht="228.75" x14ac:dyDescent="0.2">
      <c r="A74" s="311" t="s">
        <v>605</v>
      </c>
      <c r="B74" s="311" t="s">
        <v>606</v>
      </c>
      <c r="C74" s="311" t="s">
        <v>290</v>
      </c>
      <c r="D74" s="311" t="s">
        <v>607</v>
      </c>
      <c r="E74" s="307">
        <f t="shared" ref="E74" si="51">F74</f>
        <v>25694626.600000001</v>
      </c>
      <c r="F74" s="276">
        <v>25694626.600000001</v>
      </c>
      <c r="G74" s="276"/>
      <c r="H74" s="276"/>
      <c r="I74" s="276"/>
      <c r="J74" s="307">
        <f t="shared" si="45"/>
        <v>0</v>
      </c>
      <c r="K74" s="276"/>
      <c r="L74" s="276"/>
      <c r="M74" s="276"/>
      <c r="N74" s="276"/>
      <c r="O74" s="288">
        <f t="shared" si="48"/>
        <v>0</v>
      </c>
      <c r="P74" s="307">
        <f t="shared" si="46"/>
        <v>25694626.600000001</v>
      </c>
      <c r="R74" s="149"/>
    </row>
    <row r="75" spans="1:20" s="119" customFormat="1" ht="183" x14ac:dyDescent="0.2">
      <c r="A75" s="311" t="s">
        <v>543</v>
      </c>
      <c r="B75" s="311" t="s">
        <v>544</v>
      </c>
      <c r="C75" s="311" t="s">
        <v>290</v>
      </c>
      <c r="D75" s="311" t="s">
        <v>502</v>
      </c>
      <c r="E75" s="307">
        <f t="shared" ref="E75:E76" si="52">F75</f>
        <v>13918200</v>
      </c>
      <c r="F75" s="276">
        <f>(14110200)-192000</f>
        <v>13918200</v>
      </c>
      <c r="G75" s="276"/>
      <c r="H75" s="276"/>
      <c r="I75" s="276"/>
      <c r="J75" s="307">
        <f t="shared" si="45"/>
        <v>0</v>
      </c>
      <c r="K75" s="276"/>
      <c r="L75" s="276"/>
      <c r="M75" s="276"/>
      <c r="N75" s="276"/>
      <c r="O75" s="288">
        <f t="shared" si="48"/>
        <v>0</v>
      </c>
      <c r="P75" s="307">
        <f t="shared" si="46"/>
        <v>13918200</v>
      </c>
      <c r="R75" s="149"/>
    </row>
    <row r="76" spans="1:20" s="119" customFormat="1" ht="274.5" x14ac:dyDescent="0.2">
      <c r="A76" s="311" t="s">
        <v>550</v>
      </c>
      <c r="B76" s="311" t="s">
        <v>551</v>
      </c>
      <c r="C76" s="311" t="s">
        <v>274</v>
      </c>
      <c r="D76" s="311" t="s">
        <v>552</v>
      </c>
      <c r="E76" s="307">
        <f t="shared" si="52"/>
        <v>1616024</v>
      </c>
      <c r="F76" s="276">
        <f>(1200000)+416024</f>
        <v>1616024</v>
      </c>
      <c r="G76" s="276"/>
      <c r="H76" s="276"/>
      <c r="I76" s="276"/>
      <c r="J76" s="307">
        <f t="shared" si="45"/>
        <v>0</v>
      </c>
      <c r="K76" s="276"/>
      <c r="L76" s="276"/>
      <c r="M76" s="276"/>
      <c r="N76" s="276"/>
      <c r="O76" s="288">
        <f t="shared" si="48"/>
        <v>0</v>
      </c>
      <c r="P76" s="307">
        <f t="shared" si="46"/>
        <v>1616024</v>
      </c>
      <c r="R76" s="149"/>
    </row>
    <row r="77" spans="1:20" s="119" customFormat="1" ht="320.25" x14ac:dyDescent="0.2">
      <c r="A77" s="311" t="s">
        <v>548</v>
      </c>
      <c r="B77" s="311" t="s">
        <v>549</v>
      </c>
      <c r="C77" s="311" t="s">
        <v>290</v>
      </c>
      <c r="D77" s="311" t="s">
        <v>553</v>
      </c>
      <c r="E77" s="307">
        <f t="shared" si="50"/>
        <v>289523.23</v>
      </c>
      <c r="F77" s="276">
        <f>(264192)+25331.23</f>
        <v>289523.23</v>
      </c>
      <c r="G77" s="276"/>
      <c r="H77" s="276"/>
      <c r="I77" s="276"/>
      <c r="J77" s="307">
        <f t="shared" si="45"/>
        <v>0</v>
      </c>
      <c r="K77" s="276"/>
      <c r="L77" s="276"/>
      <c r="M77" s="276"/>
      <c r="N77" s="276"/>
      <c r="O77" s="288">
        <f t="shared" si="48"/>
        <v>0</v>
      </c>
      <c r="P77" s="307">
        <f t="shared" si="46"/>
        <v>289523.23</v>
      </c>
      <c r="R77" s="149"/>
    </row>
    <row r="78" spans="1:20" s="119" customFormat="1" ht="364.7" customHeight="1" x14ac:dyDescent="0.65">
      <c r="A78" s="461" t="s">
        <v>881</v>
      </c>
      <c r="B78" s="461" t="s">
        <v>882</v>
      </c>
      <c r="C78" s="461" t="s">
        <v>274</v>
      </c>
      <c r="D78" s="295" t="s">
        <v>883</v>
      </c>
      <c r="E78" s="465">
        <f t="shared" ref="E78" si="53">F78</f>
        <v>249988</v>
      </c>
      <c r="F78" s="467">
        <v>249988</v>
      </c>
      <c r="G78" s="467"/>
      <c r="H78" s="467"/>
      <c r="I78" s="467"/>
      <c r="J78" s="465">
        <f t="shared" ref="J78" si="54">L78+O78</f>
        <v>0</v>
      </c>
      <c r="K78" s="467"/>
      <c r="L78" s="467"/>
      <c r="M78" s="467"/>
      <c r="N78" s="467"/>
      <c r="O78" s="467">
        <f t="shared" ref="O78" si="55">K78</f>
        <v>0</v>
      </c>
      <c r="P78" s="465">
        <f t="shared" ref="P78" si="56">E78+J78</f>
        <v>249988</v>
      </c>
      <c r="Q78" s="244">
        <f>E78</f>
        <v>249988</v>
      </c>
      <c r="R78" s="244">
        <f>J78</f>
        <v>0</v>
      </c>
      <c r="T78" s="244">
        <f>K78</f>
        <v>0</v>
      </c>
    </row>
    <row r="79" spans="1:20" s="119" customFormat="1" ht="334.5" customHeight="1" x14ac:dyDescent="0.2">
      <c r="A79" s="464"/>
      <c r="B79" s="464"/>
      <c r="C79" s="464"/>
      <c r="D79" s="296" t="s">
        <v>884</v>
      </c>
      <c r="E79" s="464"/>
      <c r="F79" s="464"/>
      <c r="G79" s="464"/>
      <c r="H79" s="464"/>
      <c r="I79" s="464"/>
      <c r="J79" s="475"/>
      <c r="K79" s="464"/>
      <c r="L79" s="464"/>
      <c r="M79" s="464"/>
      <c r="N79" s="464"/>
      <c r="O79" s="464"/>
      <c r="P79" s="475"/>
      <c r="R79" s="149"/>
    </row>
    <row r="80" spans="1:20" s="119" customFormat="1" ht="137.25" x14ac:dyDescent="0.2">
      <c r="A80" s="311" t="s">
        <v>918</v>
      </c>
      <c r="B80" s="311" t="s">
        <v>919</v>
      </c>
      <c r="C80" s="311" t="s">
        <v>274</v>
      </c>
      <c r="D80" s="311" t="s">
        <v>920</v>
      </c>
      <c r="E80" s="307">
        <f t="shared" ref="E80" si="57">F80</f>
        <v>20792460.77</v>
      </c>
      <c r="F80" s="276">
        <f>(21208032)-415571.23</f>
        <v>20792460.77</v>
      </c>
      <c r="G80" s="276"/>
      <c r="H80" s="276"/>
      <c r="I80" s="276"/>
      <c r="J80" s="307">
        <f t="shared" ref="J80" si="58">L80+O80</f>
        <v>0</v>
      </c>
      <c r="K80" s="307"/>
      <c r="L80" s="276"/>
      <c r="M80" s="276"/>
      <c r="N80" s="276"/>
      <c r="O80" s="288">
        <f t="shared" ref="O80" si="59">K80</f>
        <v>0</v>
      </c>
      <c r="P80" s="307">
        <f t="shared" ref="P80" si="60">E80+J80</f>
        <v>20792460.77</v>
      </c>
      <c r="R80" s="149"/>
    </row>
    <row r="81" spans="1:18" ht="163.5" customHeight="1" x14ac:dyDescent="0.2">
      <c r="A81" s="311" t="s">
        <v>378</v>
      </c>
      <c r="B81" s="311" t="s">
        <v>369</v>
      </c>
      <c r="C81" s="311" t="s">
        <v>297</v>
      </c>
      <c r="D81" s="311" t="s">
        <v>503</v>
      </c>
      <c r="E81" s="307">
        <f t="shared" si="49"/>
        <v>152280</v>
      </c>
      <c r="F81" s="276">
        <f>(117846)+34434</f>
        <v>152280</v>
      </c>
      <c r="G81" s="276"/>
      <c r="H81" s="276"/>
      <c r="I81" s="276"/>
      <c r="J81" s="307">
        <f t="shared" si="45"/>
        <v>0</v>
      </c>
      <c r="K81" s="307"/>
      <c r="L81" s="276"/>
      <c r="M81" s="276"/>
      <c r="N81" s="276"/>
      <c r="O81" s="288">
        <f t="shared" si="48"/>
        <v>0</v>
      </c>
      <c r="P81" s="307">
        <f t="shared" si="46"/>
        <v>152280</v>
      </c>
      <c r="R81" s="149"/>
    </row>
    <row r="82" spans="1:18" ht="301.7" customHeight="1" x14ac:dyDescent="0.2">
      <c r="A82" s="311" t="s">
        <v>399</v>
      </c>
      <c r="B82" s="311" t="s">
        <v>397</v>
      </c>
      <c r="C82" s="311" t="s">
        <v>291</v>
      </c>
      <c r="D82" s="311" t="s">
        <v>35</v>
      </c>
      <c r="E82" s="307">
        <f t="shared" si="49"/>
        <v>17985684</v>
      </c>
      <c r="F82" s="276">
        <f>(17332984)+652700</f>
        <v>17985684</v>
      </c>
      <c r="G82" s="276">
        <f>(11859350)+389900</f>
        <v>12249250</v>
      </c>
      <c r="H82" s="276">
        <v>246362</v>
      </c>
      <c r="I82" s="276"/>
      <c r="J82" s="307">
        <f t="shared" si="45"/>
        <v>311900</v>
      </c>
      <c r="K82" s="276">
        <f>((175000)+30000)-82860+80360</f>
        <v>202500</v>
      </c>
      <c r="L82" s="276">
        <v>109400</v>
      </c>
      <c r="M82" s="276">
        <v>60000</v>
      </c>
      <c r="N82" s="276">
        <v>4000</v>
      </c>
      <c r="O82" s="288">
        <f t="shared" si="48"/>
        <v>202500</v>
      </c>
      <c r="P82" s="307">
        <f t="shared" si="46"/>
        <v>18297584</v>
      </c>
      <c r="R82" s="149" t="b">
        <f>K82='dod5'!I48</f>
        <v>1</v>
      </c>
    </row>
    <row r="83" spans="1:18" ht="137.25" x14ac:dyDescent="0.2">
      <c r="A83" s="311" t="s">
        <v>400</v>
      </c>
      <c r="B83" s="311" t="s">
        <v>398</v>
      </c>
      <c r="C83" s="311" t="s">
        <v>290</v>
      </c>
      <c r="D83" s="311" t="s">
        <v>504</v>
      </c>
      <c r="E83" s="307">
        <f t="shared" si="49"/>
        <v>5357323</v>
      </c>
      <c r="F83" s="276">
        <f>(5162423)+194900</f>
        <v>5357323</v>
      </c>
      <c r="G83" s="276">
        <f>(3617760)+20400</f>
        <v>3638160</v>
      </c>
      <c r="H83" s="276">
        <v>286789</v>
      </c>
      <c r="I83" s="276"/>
      <c r="J83" s="307">
        <f t="shared" si="45"/>
        <v>274250</v>
      </c>
      <c r="K83" s="276">
        <v>274250</v>
      </c>
      <c r="L83" s="276"/>
      <c r="M83" s="276"/>
      <c r="N83" s="276"/>
      <c r="O83" s="288">
        <f t="shared" si="48"/>
        <v>274250</v>
      </c>
      <c r="P83" s="307">
        <f t="shared" si="46"/>
        <v>5631573</v>
      </c>
      <c r="R83" s="149" t="b">
        <f>K83='dod5'!I49</f>
        <v>1</v>
      </c>
    </row>
    <row r="84" spans="1:18" ht="409.5" x14ac:dyDescent="0.2">
      <c r="A84" s="311" t="s">
        <v>395</v>
      </c>
      <c r="B84" s="311" t="s">
        <v>396</v>
      </c>
      <c r="C84" s="311" t="s">
        <v>290</v>
      </c>
      <c r="D84" s="311" t="s">
        <v>505</v>
      </c>
      <c r="E84" s="307">
        <f t="shared" si="49"/>
        <v>1554600</v>
      </c>
      <c r="F84" s="276">
        <v>1554600</v>
      </c>
      <c r="G84" s="276"/>
      <c r="H84" s="276"/>
      <c r="I84" s="276"/>
      <c r="J84" s="307">
        <f t="shared" si="45"/>
        <v>0</v>
      </c>
      <c r="K84" s="307"/>
      <c r="L84" s="276"/>
      <c r="M84" s="276"/>
      <c r="N84" s="276"/>
      <c r="O84" s="288">
        <f t="shared" si="48"/>
        <v>0</v>
      </c>
      <c r="P84" s="307">
        <f>+J84+E84</f>
        <v>1554600</v>
      </c>
      <c r="R84" s="149"/>
    </row>
    <row r="85" spans="1:18" ht="274.5" x14ac:dyDescent="0.2">
      <c r="A85" s="311" t="s">
        <v>506</v>
      </c>
      <c r="B85" s="311" t="s">
        <v>507</v>
      </c>
      <c r="C85" s="311" t="s">
        <v>290</v>
      </c>
      <c r="D85" s="311" t="s">
        <v>554</v>
      </c>
      <c r="E85" s="307">
        <f t="shared" si="49"/>
        <v>135534</v>
      </c>
      <c r="F85" s="276">
        <v>135534</v>
      </c>
      <c r="G85" s="276"/>
      <c r="H85" s="276"/>
      <c r="I85" s="276"/>
      <c r="J85" s="307">
        <f t="shared" si="45"/>
        <v>0</v>
      </c>
      <c r="K85" s="276"/>
      <c r="L85" s="276"/>
      <c r="M85" s="276"/>
      <c r="N85" s="276"/>
      <c r="O85" s="288">
        <f t="shared" si="48"/>
        <v>0</v>
      </c>
      <c r="P85" s="307">
        <f>+J85+E85</f>
        <v>135534</v>
      </c>
      <c r="R85" s="149"/>
    </row>
    <row r="86" spans="1:18" ht="112.7" customHeight="1" x14ac:dyDescent="0.2">
      <c r="A86" s="311" t="s">
        <v>508</v>
      </c>
      <c r="B86" s="311" t="s">
        <v>509</v>
      </c>
      <c r="C86" s="311" t="s">
        <v>290</v>
      </c>
      <c r="D86" s="311" t="s">
        <v>555</v>
      </c>
      <c r="E86" s="307">
        <f t="shared" si="49"/>
        <v>168</v>
      </c>
      <c r="F86" s="276">
        <v>168</v>
      </c>
      <c r="G86" s="276"/>
      <c r="H86" s="276"/>
      <c r="I86" s="276"/>
      <c r="J86" s="307">
        <f t="shared" si="45"/>
        <v>0</v>
      </c>
      <c r="K86" s="276"/>
      <c r="L86" s="276"/>
      <c r="M86" s="276"/>
      <c r="N86" s="276"/>
      <c r="O86" s="288">
        <f t="shared" si="48"/>
        <v>0</v>
      </c>
      <c r="P86" s="307">
        <f>+J86+E86</f>
        <v>168</v>
      </c>
      <c r="R86" s="149"/>
    </row>
    <row r="87" spans="1:18" ht="366" x14ac:dyDescent="0.2">
      <c r="A87" s="311" t="s">
        <v>558</v>
      </c>
      <c r="B87" s="311" t="s">
        <v>557</v>
      </c>
      <c r="C87" s="311" t="s">
        <v>79</v>
      </c>
      <c r="D87" s="311" t="s">
        <v>556</v>
      </c>
      <c r="E87" s="307">
        <f t="shared" ref="E87" si="61">F87</f>
        <v>1808500</v>
      </c>
      <c r="F87" s="276">
        <v>1808500</v>
      </c>
      <c r="G87" s="276"/>
      <c r="H87" s="276"/>
      <c r="I87" s="276"/>
      <c r="J87" s="307">
        <f t="shared" si="45"/>
        <v>0</v>
      </c>
      <c r="K87" s="307"/>
      <c r="L87" s="276"/>
      <c r="M87" s="276"/>
      <c r="N87" s="276"/>
      <c r="O87" s="288">
        <f t="shared" si="48"/>
        <v>0</v>
      </c>
      <c r="P87" s="307">
        <f>E87+J87</f>
        <v>1808500</v>
      </c>
      <c r="R87" s="149"/>
    </row>
    <row r="88" spans="1:18" ht="228.75" x14ac:dyDescent="0.2">
      <c r="A88" s="311" t="s">
        <v>510</v>
      </c>
      <c r="B88" s="311" t="s">
        <v>511</v>
      </c>
      <c r="C88" s="311" t="s">
        <v>297</v>
      </c>
      <c r="D88" s="311" t="s">
        <v>559</v>
      </c>
      <c r="E88" s="307">
        <f t="shared" ref="E88:E100" si="62">F88</f>
        <v>625000</v>
      </c>
      <c r="F88" s="276">
        <f>(550000)+75000</f>
        <v>625000</v>
      </c>
      <c r="G88" s="276"/>
      <c r="H88" s="276"/>
      <c r="I88" s="276"/>
      <c r="J88" s="307">
        <f t="shared" si="45"/>
        <v>0</v>
      </c>
      <c r="K88" s="276"/>
      <c r="L88" s="276"/>
      <c r="M88" s="276"/>
      <c r="N88" s="276"/>
      <c r="O88" s="288">
        <f t="shared" si="48"/>
        <v>0</v>
      </c>
      <c r="P88" s="307">
        <f>E88+J88</f>
        <v>625000</v>
      </c>
      <c r="R88" s="149"/>
    </row>
    <row r="89" spans="1:18" ht="91.5" x14ac:dyDescent="0.2">
      <c r="A89" s="311" t="s">
        <v>774</v>
      </c>
      <c r="B89" s="311" t="s">
        <v>622</v>
      </c>
      <c r="C89" s="311" t="s">
        <v>623</v>
      </c>
      <c r="D89" s="311" t="s">
        <v>621</v>
      </c>
      <c r="E89" s="307">
        <f t="shared" ref="E89" si="63">F89</f>
        <v>311000</v>
      </c>
      <c r="F89" s="276">
        <f>(250000)+61000</f>
        <v>311000</v>
      </c>
      <c r="G89" s="276">
        <f>(205000)+50000</f>
        <v>255000</v>
      </c>
      <c r="H89" s="276"/>
      <c r="I89" s="276"/>
      <c r="J89" s="307">
        <f t="shared" si="45"/>
        <v>0</v>
      </c>
      <c r="K89" s="276"/>
      <c r="L89" s="276"/>
      <c r="M89" s="276"/>
      <c r="N89" s="276"/>
      <c r="O89" s="288">
        <f t="shared" si="48"/>
        <v>0</v>
      </c>
      <c r="P89" s="307">
        <f>E89+J89</f>
        <v>311000</v>
      </c>
      <c r="R89" s="149"/>
    </row>
    <row r="90" spans="1:18" s="277" customFormat="1" ht="409.5" x14ac:dyDescent="0.2">
      <c r="A90" s="461" t="s">
        <v>940</v>
      </c>
      <c r="B90" s="461" t="s">
        <v>941</v>
      </c>
      <c r="C90" s="461" t="s">
        <v>79</v>
      </c>
      <c r="D90" s="298" t="s">
        <v>942</v>
      </c>
      <c r="E90" s="465">
        <f t="shared" ref="E90" si="64">F90</f>
        <v>0</v>
      </c>
      <c r="F90" s="467"/>
      <c r="G90" s="467"/>
      <c r="H90" s="467"/>
      <c r="I90" s="467"/>
      <c r="J90" s="465">
        <f t="shared" ref="J90" si="65">L90+O90</f>
        <v>5371203.1200000001</v>
      </c>
      <c r="K90" s="467">
        <v>5371203.1200000001</v>
      </c>
      <c r="L90" s="467"/>
      <c r="M90" s="467"/>
      <c r="N90" s="467"/>
      <c r="O90" s="450">
        <f t="shared" ref="O90" si="66">K90</f>
        <v>5371203.1200000001</v>
      </c>
      <c r="P90" s="465">
        <f>E90+J90</f>
        <v>5371203.1200000001</v>
      </c>
      <c r="R90" s="472" t="b">
        <f>'dod5'!I50=K90</f>
        <v>1</v>
      </c>
    </row>
    <row r="91" spans="1:18" s="277" customFormat="1" ht="409.5" x14ac:dyDescent="0.2">
      <c r="A91" s="466"/>
      <c r="B91" s="466"/>
      <c r="C91" s="466"/>
      <c r="D91" s="298" t="s">
        <v>943</v>
      </c>
      <c r="E91" s="466"/>
      <c r="F91" s="466"/>
      <c r="G91" s="466"/>
      <c r="H91" s="466"/>
      <c r="I91" s="466"/>
      <c r="J91" s="466"/>
      <c r="K91" s="466"/>
      <c r="L91" s="466"/>
      <c r="M91" s="466"/>
      <c r="N91" s="466"/>
      <c r="O91" s="474"/>
      <c r="P91" s="466"/>
      <c r="R91" s="473"/>
    </row>
    <row r="92" spans="1:18" s="277" customFormat="1" ht="409.5" x14ac:dyDescent="0.2">
      <c r="A92" s="464"/>
      <c r="B92" s="464"/>
      <c r="C92" s="464"/>
      <c r="D92" s="299" t="s">
        <v>944</v>
      </c>
      <c r="E92" s="464"/>
      <c r="F92" s="464"/>
      <c r="G92" s="464"/>
      <c r="H92" s="464"/>
      <c r="I92" s="464"/>
      <c r="J92" s="464"/>
      <c r="K92" s="464"/>
      <c r="L92" s="464"/>
      <c r="M92" s="464"/>
      <c r="N92" s="464"/>
      <c r="O92" s="459"/>
      <c r="P92" s="464"/>
      <c r="R92" s="473"/>
    </row>
    <row r="93" spans="1:18" s="277" customFormat="1" ht="409.5" x14ac:dyDescent="0.2">
      <c r="A93" s="461" t="s">
        <v>945</v>
      </c>
      <c r="B93" s="461" t="s">
        <v>946</v>
      </c>
      <c r="C93" s="461" t="s">
        <v>79</v>
      </c>
      <c r="D93" s="300" t="s">
        <v>947</v>
      </c>
      <c r="E93" s="465">
        <f t="shared" ref="E93" si="67">F93</f>
        <v>0</v>
      </c>
      <c r="F93" s="467"/>
      <c r="G93" s="467"/>
      <c r="H93" s="467"/>
      <c r="I93" s="467"/>
      <c r="J93" s="465">
        <f t="shared" ref="J93" si="68">L93+O93</f>
        <v>7952988.3600000003</v>
      </c>
      <c r="K93" s="467">
        <v>7952988.3600000003</v>
      </c>
      <c r="L93" s="467"/>
      <c r="M93" s="467"/>
      <c r="N93" s="467"/>
      <c r="O93" s="450">
        <f t="shared" ref="O93" si="69">K93</f>
        <v>7952988.3600000003</v>
      </c>
      <c r="P93" s="465">
        <f>E93+J93</f>
        <v>7952988.3600000003</v>
      </c>
      <c r="R93" s="472" t="b">
        <f>K93='dod5'!I53</f>
        <v>1</v>
      </c>
    </row>
    <row r="94" spans="1:18" s="277" customFormat="1" ht="409.5" x14ac:dyDescent="0.2">
      <c r="A94" s="466"/>
      <c r="B94" s="466"/>
      <c r="C94" s="466"/>
      <c r="D94" s="299" t="s">
        <v>948</v>
      </c>
      <c r="E94" s="466"/>
      <c r="F94" s="466"/>
      <c r="G94" s="466"/>
      <c r="H94" s="466"/>
      <c r="I94" s="466"/>
      <c r="J94" s="466"/>
      <c r="K94" s="466"/>
      <c r="L94" s="466"/>
      <c r="M94" s="466"/>
      <c r="N94" s="466"/>
      <c r="O94" s="474"/>
      <c r="P94" s="466"/>
      <c r="R94" s="473"/>
    </row>
    <row r="95" spans="1:18" s="277" customFormat="1" ht="137.25" x14ac:dyDescent="0.2">
      <c r="A95" s="464"/>
      <c r="B95" s="464"/>
      <c r="C95" s="464"/>
      <c r="D95" s="299" t="s">
        <v>949</v>
      </c>
      <c r="E95" s="464"/>
      <c r="F95" s="464"/>
      <c r="G95" s="464"/>
      <c r="H95" s="464"/>
      <c r="I95" s="464"/>
      <c r="J95" s="464"/>
      <c r="K95" s="464"/>
      <c r="L95" s="464"/>
      <c r="M95" s="464"/>
      <c r="N95" s="464"/>
      <c r="O95" s="459"/>
      <c r="P95" s="464"/>
      <c r="R95" s="473"/>
    </row>
    <row r="96" spans="1:18" ht="409.5" x14ac:dyDescent="0.2">
      <c r="A96" s="461" t="s">
        <v>394</v>
      </c>
      <c r="B96" s="461" t="s">
        <v>281</v>
      </c>
      <c r="C96" s="471" t="s">
        <v>274</v>
      </c>
      <c r="D96" s="297" t="s">
        <v>512</v>
      </c>
      <c r="E96" s="468">
        <f>F96</f>
        <v>1030700</v>
      </c>
      <c r="F96" s="467">
        <v>1030700</v>
      </c>
      <c r="G96" s="467"/>
      <c r="H96" s="467"/>
      <c r="I96" s="467"/>
      <c r="J96" s="465">
        <f t="shared" si="45"/>
        <v>0</v>
      </c>
      <c r="K96" s="465"/>
      <c r="L96" s="467"/>
      <c r="M96" s="467"/>
      <c r="N96" s="467"/>
      <c r="O96" s="450">
        <f t="shared" si="48"/>
        <v>0</v>
      </c>
      <c r="P96" s="465">
        <f>E96+J96</f>
        <v>1030700</v>
      </c>
      <c r="R96" s="149"/>
    </row>
    <row r="97" spans="1:18" ht="327.75" customHeight="1" x14ac:dyDescent="0.2">
      <c r="A97" s="466"/>
      <c r="B97" s="466"/>
      <c r="C97" s="470"/>
      <c r="D97" s="299" t="s">
        <v>787</v>
      </c>
      <c r="E97" s="469"/>
      <c r="F97" s="466"/>
      <c r="G97" s="466"/>
      <c r="H97" s="466"/>
      <c r="I97" s="466"/>
      <c r="J97" s="466"/>
      <c r="K97" s="466"/>
      <c r="L97" s="466"/>
      <c r="M97" s="466"/>
      <c r="N97" s="466"/>
      <c r="O97" s="474"/>
      <c r="P97" s="477"/>
      <c r="R97" s="149"/>
    </row>
    <row r="98" spans="1:18" ht="91.5" x14ac:dyDescent="0.2">
      <c r="A98" s="464"/>
      <c r="B98" s="464"/>
      <c r="C98" s="470"/>
      <c r="D98" s="296" t="s">
        <v>788</v>
      </c>
      <c r="E98" s="470"/>
      <c r="F98" s="464"/>
      <c r="G98" s="464"/>
      <c r="H98" s="464"/>
      <c r="I98" s="464"/>
      <c r="J98" s="464"/>
      <c r="K98" s="464"/>
      <c r="L98" s="464"/>
      <c r="M98" s="464"/>
      <c r="N98" s="464"/>
      <c r="O98" s="459"/>
      <c r="P98" s="464"/>
      <c r="R98" s="149"/>
    </row>
    <row r="99" spans="1:18" ht="183" x14ac:dyDescent="0.2">
      <c r="A99" s="311" t="s">
        <v>513</v>
      </c>
      <c r="B99" s="311" t="s">
        <v>515</v>
      </c>
      <c r="C99" s="311" t="s">
        <v>282</v>
      </c>
      <c r="D99" s="291" t="s">
        <v>517</v>
      </c>
      <c r="E99" s="307">
        <f t="shared" si="62"/>
        <v>5249475</v>
      </c>
      <c r="F99" s="276">
        <f>(4578467)+671008</f>
        <v>5249475</v>
      </c>
      <c r="G99" s="266">
        <f>(2541439)+13948</f>
        <v>2555387</v>
      </c>
      <c r="H99" s="266">
        <v>379045</v>
      </c>
      <c r="I99" s="276"/>
      <c r="J99" s="307">
        <f t="shared" ref="J99:J104" si="70">L99+O99</f>
        <v>3688330</v>
      </c>
      <c r="K99" s="276">
        <f>((1380000+650000)+874330)+300000+95000-300000+689000</f>
        <v>3688330</v>
      </c>
      <c r="L99" s="276"/>
      <c r="M99" s="276"/>
      <c r="N99" s="276"/>
      <c r="O99" s="288">
        <f t="shared" ref="O99:O104" si="71">K99</f>
        <v>3688330</v>
      </c>
      <c r="P99" s="307">
        <f t="shared" ref="P99:P104" si="72">E99+J99</f>
        <v>8937805</v>
      </c>
      <c r="R99" s="149" t="b">
        <f>K99='dod5'!I56+'dod5'!I57</f>
        <v>1</v>
      </c>
    </row>
    <row r="100" spans="1:18" ht="137.25" x14ac:dyDescent="0.2">
      <c r="A100" s="311" t="s">
        <v>514</v>
      </c>
      <c r="B100" s="311" t="s">
        <v>516</v>
      </c>
      <c r="C100" s="311" t="s">
        <v>282</v>
      </c>
      <c r="D100" s="291" t="s">
        <v>518</v>
      </c>
      <c r="E100" s="307">
        <f t="shared" si="62"/>
        <v>27605871</v>
      </c>
      <c r="F100" s="276">
        <f>((23486540)+199000)+561000+24836+46500+673400+7500+420100+52500-1000000+3000000+134495</f>
        <v>27605871</v>
      </c>
      <c r="G100" s="276"/>
      <c r="H100" s="276"/>
      <c r="I100" s="276"/>
      <c r="J100" s="307">
        <f t="shared" si="70"/>
        <v>419000</v>
      </c>
      <c r="K100" s="276">
        <f>(220000)+199000</f>
        <v>419000</v>
      </c>
      <c r="L100" s="276"/>
      <c r="M100" s="276"/>
      <c r="N100" s="276"/>
      <c r="O100" s="288">
        <f t="shared" si="71"/>
        <v>419000</v>
      </c>
      <c r="P100" s="307">
        <f t="shared" si="72"/>
        <v>28024871</v>
      </c>
      <c r="R100" s="149" t="b">
        <f>K100='dod5'!I59+'dod5'!I58</f>
        <v>1</v>
      </c>
    </row>
    <row r="101" spans="1:18" ht="137.25" x14ac:dyDescent="0.2">
      <c r="A101" s="311" t="s">
        <v>598</v>
      </c>
      <c r="B101" s="311" t="s">
        <v>596</v>
      </c>
      <c r="C101" s="311" t="s">
        <v>532</v>
      </c>
      <c r="D101" s="291" t="s">
        <v>597</v>
      </c>
      <c r="E101" s="307">
        <f t="shared" ref="E101:E104" si="73">F101</f>
        <v>0</v>
      </c>
      <c r="F101" s="276"/>
      <c r="G101" s="276"/>
      <c r="H101" s="276"/>
      <c r="I101" s="276"/>
      <c r="J101" s="307">
        <f t="shared" si="70"/>
        <v>3241964</v>
      </c>
      <c r="K101" s="276">
        <f>(3500000)-258036</f>
        <v>3241964</v>
      </c>
      <c r="L101" s="276"/>
      <c r="M101" s="276"/>
      <c r="N101" s="276"/>
      <c r="O101" s="288">
        <f t="shared" si="71"/>
        <v>3241964</v>
      </c>
      <c r="P101" s="307">
        <f t="shared" si="72"/>
        <v>3241964</v>
      </c>
      <c r="R101" s="149" t="b">
        <f>K101='dod5'!I60</f>
        <v>1</v>
      </c>
    </row>
    <row r="102" spans="1:18" s="416" customFormat="1" ht="409.5" x14ac:dyDescent="0.2">
      <c r="A102" s="420" t="s">
        <v>976</v>
      </c>
      <c r="B102" s="420" t="s">
        <v>977</v>
      </c>
      <c r="C102" s="420" t="s">
        <v>532</v>
      </c>
      <c r="D102" s="291" t="s">
        <v>975</v>
      </c>
      <c r="E102" s="419">
        <f t="shared" ref="E102" si="74">F102</f>
        <v>0</v>
      </c>
      <c r="F102" s="276"/>
      <c r="G102" s="276"/>
      <c r="H102" s="276"/>
      <c r="I102" s="276"/>
      <c r="J102" s="419">
        <f t="shared" si="70"/>
        <v>530290</v>
      </c>
      <c r="K102" s="276">
        <v>530290</v>
      </c>
      <c r="L102" s="276"/>
      <c r="M102" s="276"/>
      <c r="N102" s="276"/>
      <c r="O102" s="288">
        <f t="shared" si="71"/>
        <v>530290</v>
      </c>
      <c r="P102" s="419">
        <f t="shared" si="72"/>
        <v>530290</v>
      </c>
      <c r="R102" s="418" t="b">
        <f>K102='dod5'!I61</f>
        <v>1</v>
      </c>
    </row>
    <row r="103" spans="1:18" ht="91.5" x14ac:dyDescent="0.2">
      <c r="A103" s="311" t="s">
        <v>693</v>
      </c>
      <c r="B103" s="311" t="s">
        <v>694</v>
      </c>
      <c r="C103" s="311" t="s">
        <v>445</v>
      </c>
      <c r="D103" s="291" t="s">
        <v>695</v>
      </c>
      <c r="E103" s="307">
        <f t="shared" si="73"/>
        <v>0</v>
      </c>
      <c r="F103" s="276"/>
      <c r="G103" s="276"/>
      <c r="H103" s="276"/>
      <c r="I103" s="276"/>
      <c r="J103" s="307">
        <f t="shared" si="70"/>
        <v>2000000</v>
      </c>
      <c r="K103" s="276">
        <f>(1000000)+1000000</f>
        <v>2000000</v>
      </c>
      <c r="L103" s="276"/>
      <c r="M103" s="276"/>
      <c r="N103" s="276"/>
      <c r="O103" s="288">
        <f t="shared" si="71"/>
        <v>2000000</v>
      </c>
      <c r="P103" s="307">
        <f t="shared" si="72"/>
        <v>2000000</v>
      </c>
      <c r="R103" s="149" t="b">
        <f>K103='dod5'!I62</f>
        <v>1</v>
      </c>
    </row>
    <row r="104" spans="1:18" ht="409.5" x14ac:dyDescent="0.2">
      <c r="A104" s="461" t="s">
        <v>730</v>
      </c>
      <c r="B104" s="461" t="s">
        <v>528</v>
      </c>
      <c r="C104" s="461" t="s">
        <v>251</v>
      </c>
      <c r="D104" s="289" t="s">
        <v>539</v>
      </c>
      <c r="E104" s="457">
        <f t="shared" si="73"/>
        <v>0</v>
      </c>
      <c r="F104" s="452"/>
      <c r="G104" s="452"/>
      <c r="H104" s="452"/>
      <c r="I104" s="452"/>
      <c r="J104" s="465">
        <f t="shared" si="70"/>
        <v>431505</v>
      </c>
      <c r="K104" s="452"/>
      <c r="L104" s="452">
        <f>(566000)-134495</f>
        <v>431505</v>
      </c>
      <c r="M104" s="452"/>
      <c r="N104" s="452"/>
      <c r="O104" s="450">
        <f t="shared" si="71"/>
        <v>0</v>
      </c>
      <c r="P104" s="457">
        <f t="shared" si="72"/>
        <v>431505</v>
      </c>
      <c r="Q104" s="116">
        <f>P104</f>
        <v>431505</v>
      </c>
      <c r="R104" s="149"/>
    </row>
    <row r="105" spans="1:18" ht="137.25" x14ac:dyDescent="0.2">
      <c r="A105" s="464"/>
      <c r="B105" s="464"/>
      <c r="C105" s="464"/>
      <c r="D105" s="290" t="s">
        <v>540</v>
      </c>
      <c r="E105" s="458"/>
      <c r="F105" s="453"/>
      <c r="G105" s="453"/>
      <c r="H105" s="453"/>
      <c r="I105" s="453"/>
      <c r="J105" s="464"/>
      <c r="K105" s="464"/>
      <c r="L105" s="453"/>
      <c r="M105" s="453"/>
      <c r="N105" s="453"/>
      <c r="O105" s="459"/>
      <c r="P105" s="458"/>
      <c r="R105" s="149"/>
    </row>
    <row r="106" spans="1:18" ht="180" x14ac:dyDescent="0.2">
      <c r="A106" s="280">
        <v>1000000</v>
      </c>
      <c r="B106" s="280"/>
      <c r="C106" s="280"/>
      <c r="D106" s="281" t="s">
        <v>43</v>
      </c>
      <c r="E106" s="282">
        <f>E107</f>
        <v>83190664</v>
      </c>
      <c r="F106" s="282">
        <f t="shared" ref="F106" si="75">F107</f>
        <v>83190664</v>
      </c>
      <c r="G106" s="282">
        <f t="shared" ref="G106" si="76">G107</f>
        <v>57740325</v>
      </c>
      <c r="H106" s="282">
        <f>H107</f>
        <v>3263442</v>
      </c>
      <c r="I106" s="282">
        <f t="shared" ref="I106" si="77">I107</f>
        <v>0</v>
      </c>
      <c r="J106" s="282">
        <f>J107</f>
        <v>15391234</v>
      </c>
      <c r="K106" s="282">
        <f>K107</f>
        <v>7904454</v>
      </c>
      <c r="L106" s="282">
        <f>L107</f>
        <v>7451780</v>
      </c>
      <c r="M106" s="282">
        <f t="shared" ref="M106" si="78">M107</f>
        <v>5409770</v>
      </c>
      <c r="N106" s="282">
        <f>N107</f>
        <v>197280</v>
      </c>
      <c r="O106" s="282">
        <f>O107</f>
        <v>7939454</v>
      </c>
      <c r="P106" s="282">
        <f t="shared" ref="P106" si="79">P107</f>
        <v>98581898</v>
      </c>
    </row>
    <row r="107" spans="1:18" ht="180" x14ac:dyDescent="0.2">
      <c r="A107" s="283">
        <v>1010000</v>
      </c>
      <c r="B107" s="283"/>
      <c r="C107" s="283"/>
      <c r="D107" s="284" t="s">
        <v>62</v>
      </c>
      <c r="E107" s="285">
        <f>F107</f>
        <v>83190664</v>
      </c>
      <c r="F107" s="285">
        <f>SUM(F108:F115)</f>
        <v>83190664</v>
      </c>
      <c r="G107" s="285">
        <f t="shared" ref="G107:I107" si="80">SUM(G108:G115)</f>
        <v>57740325</v>
      </c>
      <c r="H107" s="285">
        <f t="shared" si="80"/>
        <v>3263442</v>
      </c>
      <c r="I107" s="285">
        <f t="shared" si="80"/>
        <v>0</v>
      </c>
      <c r="J107" s="285">
        <f t="shared" ref="J107:J115" si="81">L107+O107</f>
        <v>15391234</v>
      </c>
      <c r="K107" s="285">
        <f t="shared" ref="K107" si="82">SUM(K108:K115)</f>
        <v>7904454</v>
      </c>
      <c r="L107" s="285">
        <f t="shared" ref="L107" si="83">SUM(L108:L115)</f>
        <v>7451780</v>
      </c>
      <c r="M107" s="285">
        <f t="shared" ref="M107" si="84">SUM(M108:M115)</f>
        <v>5409770</v>
      </c>
      <c r="N107" s="285">
        <f t="shared" ref="N107" si="85">SUM(N108:N115)</f>
        <v>197280</v>
      </c>
      <c r="O107" s="285">
        <f t="shared" ref="O107" si="86">SUM(O108:O115)</f>
        <v>7939454</v>
      </c>
      <c r="P107" s="285">
        <f t="shared" ref="P107:P114" si="87">E107+J107</f>
        <v>98581898</v>
      </c>
      <c r="Q107" s="148" t="b">
        <f>P107=P108+P109+P110+P111+P112+P113+P114+P115</f>
        <v>1</v>
      </c>
      <c r="R107" s="149" t="b">
        <f>K107='dod5'!I64</f>
        <v>1</v>
      </c>
    </row>
    <row r="108" spans="1:18" ht="274.5" x14ac:dyDescent="0.2">
      <c r="A108" s="311" t="s">
        <v>34</v>
      </c>
      <c r="B108" s="311" t="s">
        <v>269</v>
      </c>
      <c r="C108" s="311" t="s">
        <v>270</v>
      </c>
      <c r="D108" s="311" t="s">
        <v>268</v>
      </c>
      <c r="E108" s="307">
        <f>F108</f>
        <v>47590215</v>
      </c>
      <c r="F108" s="276">
        <f>((46221680)+69535)+1065000+234000</f>
        <v>47590215</v>
      </c>
      <c r="G108" s="276">
        <f>(35856900)+1065000</f>
        <v>36921900</v>
      </c>
      <c r="H108" s="276">
        <f>(1907060)+69535</f>
        <v>1976595</v>
      </c>
      <c r="I108" s="276"/>
      <c r="J108" s="307">
        <f t="shared" si="81"/>
        <v>7864384</v>
      </c>
      <c r="K108" s="276">
        <f>((386442)+1046562)-400000</f>
        <v>1033004</v>
      </c>
      <c r="L108" s="276">
        <v>6805480</v>
      </c>
      <c r="M108" s="276">
        <v>5170040</v>
      </c>
      <c r="N108" s="276">
        <v>138080</v>
      </c>
      <c r="O108" s="288">
        <f>K108+25900</f>
        <v>1058904</v>
      </c>
      <c r="P108" s="307">
        <f t="shared" si="87"/>
        <v>55454599</v>
      </c>
      <c r="R108" s="149" t="b">
        <f>K108='dod5'!I65+'dod5'!I66</f>
        <v>1</v>
      </c>
    </row>
    <row r="109" spans="1:18" ht="46.5" x14ac:dyDescent="0.2">
      <c r="A109" s="311" t="s">
        <v>252</v>
      </c>
      <c r="B109" s="311" t="s">
        <v>253</v>
      </c>
      <c r="C109" s="311" t="s">
        <v>256</v>
      </c>
      <c r="D109" s="311" t="s">
        <v>257</v>
      </c>
      <c r="E109" s="307">
        <f t="shared" ref="E109:E112" si="88">F109</f>
        <v>726700</v>
      </c>
      <c r="F109" s="276">
        <v>726700</v>
      </c>
      <c r="G109" s="276"/>
      <c r="H109" s="276"/>
      <c r="I109" s="276"/>
      <c r="J109" s="307">
        <f t="shared" si="81"/>
        <v>0</v>
      </c>
      <c r="K109" s="276"/>
      <c r="L109" s="276"/>
      <c r="M109" s="276"/>
      <c r="N109" s="276"/>
      <c r="O109" s="288">
        <f>K109</f>
        <v>0</v>
      </c>
      <c r="P109" s="307">
        <f t="shared" si="87"/>
        <v>726700</v>
      </c>
      <c r="R109" s="149"/>
    </row>
    <row r="110" spans="1:18" ht="91.5" x14ac:dyDescent="0.2">
      <c r="A110" s="311" t="s">
        <v>258</v>
      </c>
      <c r="B110" s="311" t="s">
        <v>259</v>
      </c>
      <c r="C110" s="311" t="s">
        <v>260</v>
      </c>
      <c r="D110" s="311" t="s">
        <v>261</v>
      </c>
      <c r="E110" s="307">
        <f t="shared" si="88"/>
        <v>7945270</v>
      </c>
      <c r="F110" s="276">
        <f>((7716225)+80300)+148745</f>
        <v>7945270</v>
      </c>
      <c r="G110" s="276">
        <v>5790700</v>
      </c>
      <c r="H110" s="276">
        <v>459705</v>
      </c>
      <c r="I110" s="276"/>
      <c r="J110" s="307">
        <f t="shared" si="81"/>
        <v>716950</v>
      </c>
      <c r="K110" s="276">
        <v>631950</v>
      </c>
      <c r="L110" s="276">
        <v>85000</v>
      </c>
      <c r="M110" s="276">
        <v>9800</v>
      </c>
      <c r="N110" s="276">
        <v>18500</v>
      </c>
      <c r="O110" s="288">
        <f>K110</f>
        <v>631950</v>
      </c>
      <c r="P110" s="307">
        <f t="shared" si="87"/>
        <v>8662220</v>
      </c>
      <c r="R110" s="149" t="b">
        <f>K110='dod5'!I67</f>
        <v>1</v>
      </c>
    </row>
    <row r="111" spans="1:18" ht="91.5" x14ac:dyDescent="0.2">
      <c r="A111" s="311" t="s">
        <v>262</v>
      </c>
      <c r="B111" s="311" t="s">
        <v>263</v>
      </c>
      <c r="C111" s="311" t="s">
        <v>260</v>
      </c>
      <c r="D111" s="311" t="s">
        <v>264</v>
      </c>
      <c r="E111" s="307">
        <f t="shared" si="88"/>
        <v>1220535</v>
      </c>
      <c r="F111" s="276">
        <v>1220535</v>
      </c>
      <c r="G111" s="276">
        <v>796025</v>
      </c>
      <c r="H111" s="276">
        <v>201670</v>
      </c>
      <c r="I111" s="276"/>
      <c r="J111" s="307">
        <f t="shared" si="81"/>
        <v>5075000</v>
      </c>
      <c r="K111" s="276">
        <f>(3000000)+2000000</f>
        <v>5000000</v>
      </c>
      <c r="L111" s="276">
        <v>75000</v>
      </c>
      <c r="M111" s="276">
        <v>6100</v>
      </c>
      <c r="N111" s="276">
        <v>3300</v>
      </c>
      <c r="O111" s="288">
        <f>K111</f>
        <v>5000000</v>
      </c>
      <c r="P111" s="307">
        <f t="shared" si="87"/>
        <v>6295535</v>
      </c>
      <c r="R111" s="149" t="b">
        <f>K111='dod5'!I68+'dod5'!I69</f>
        <v>1</v>
      </c>
    </row>
    <row r="112" spans="1:18" ht="183" x14ac:dyDescent="0.2">
      <c r="A112" s="311" t="s">
        <v>265</v>
      </c>
      <c r="B112" s="311" t="s">
        <v>254</v>
      </c>
      <c r="C112" s="311" t="s">
        <v>266</v>
      </c>
      <c r="D112" s="311" t="s">
        <v>267</v>
      </c>
      <c r="E112" s="307">
        <f t="shared" si="88"/>
        <v>5924182</v>
      </c>
      <c r="F112" s="276">
        <f>((5699642)+116500)+108040</f>
        <v>5924182</v>
      </c>
      <c r="G112" s="276">
        <v>4068700</v>
      </c>
      <c r="H112" s="276">
        <v>590742</v>
      </c>
      <c r="I112" s="276"/>
      <c r="J112" s="307">
        <f t="shared" si="81"/>
        <v>1555400</v>
      </c>
      <c r="K112" s="276">
        <f>(500000)+690000</f>
        <v>1190000</v>
      </c>
      <c r="L112" s="276">
        <v>356300</v>
      </c>
      <c r="M112" s="276">
        <v>218030</v>
      </c>
      <c r="N112" s="276">
        <v>37400</v>
      </c>
      <c r="O112" s="288">
        <f>K112+9100</f>
        <v>1199100</v>
      </c>
      <c r="P112" s="307">
        <f t="shared" si="87"/>
        <v>7479582</v>
      </c>
      <c r="R112" s="149" t="b">
        <f>K112='dod5'!I70</f>
        <v>1</v>
      </c>
    </row>
    <row r="113" spans="1:18" ht="137.25" x14ac:dyDescent="0.2">
      <c r="A113" s="311" t="s">
        <v>520</v>
      </c>
      <c r="B113" s="311" t="s">
        <v>521</v>
      </c>
      <c r="C113" s="311" t="s">
        <v>271</v>
      </c>
      <c r="D113" s="311" t="s">
        <v>519</v>
      </c>
      <c r="E113" s="307">
        <f>F113</f>
        <v>13283762</v>
      </c>
      <c r="F113" s="276">
        <f>(13266262)+17500</f>
        <v>13283762</v>
      </c>
      <c r="G113" s="276">
        <v>10163000</v>
      </c>
      <c r="H113" s="276">
        <v>34730</v>
      </c>
      <c r="I113" s="276"/>
      <c r="J113" s="307">
        <f t="shared" si="81"/>
        <v>130000</v>
      </c>
      <c r="K113" s="276"/>
      <c r="L113" s="276">
        <v>130000</v>
      </c>
      <c r="M113" s="276">
        <v>5800</v>
      </c>
      <c r="N113" s="276"/>
      <c r="O113" s="288">
        <f>K113</f>
        <v>0</v>
      </c>
      <c r="P113" s="307">
        <f t="shared" si="87"/>
        <v>13413762</v>
      </c>
      <c r="R113" s="149"/>
    </row>
    <row r="114" spans="1:18" ht="91.5" x14ac:dyDescent="0.2">
      <c r="A114" s="311" t="s">
        <v>522</v>
      </c>
      <c r="B114" s="311" t="s">
        <v>523</v>
      </c>
      <c r="C114" s="311" t="s">
        <v>271</v>
      </c>
      <c r="D114" s="311" t="s">
        <v>524</v>
      </c>
      <c r="E114" s="307">
        <f>F114</f>
        <v>6500000</v>
      </c>
      <c r="F114" s="276">
        <f>((6000000)+300000)+200000</f>
        <v>6500000</v>
      </c>
      <c r="G114" s="276"/>
      <c r="H114" s="276"/>
      <c r="I114" s="276"/>
      <c r="J114" s="307">
        <f t="shared" si="81"/>
        <v>0</v>
      </c>
      <c r="K114" s="276"/>
      <c r="L114" s="276"/>
      <c r="M114" s="276"/>
      <c r="N114" s="276"/>
      <c r="O114" s="288">
        <f>K114</f>
        <v>0</v>
      </c>
      <c r="P114" s="307">
        <f t="shared" si="87"/>
        <v>6500000</v>
      </c>
      <c r="R114" s="149"/>
    </row>
    <row r="115" spans="1:18" ht="91.5" x14ac:dyDescent="0.2">
      <c r="A115" s="311" t="s">
        <v>839</v>
      </c>
      <c r="B115" s="311" t="s">
        <v>288</v>
      </c>
      <c r="C115" s="311" t="s">
        <v>251</v>
      </c>
      <c r="D115" s="311" t="s">
        <v>57</v>
      </c>
      <c r="E115" s="279">
        <f t="shared" ref="E115" si="89">F115</f>
        <v>0</v>
      </c>
      <c r="F115" s="266"/>
      <c r="G115" s="266"/>
      <c r="H115" s="266"/>
      <c r="I115" s="266"/>
      <c r="J115" s="307">
        <f t="shared" si="81"/>
        <v>49500</v>
      </c>
      <c r="K115" s="276">
        <f>(25000)+24500</f>
        <v>49500</v>
      </c>
      <c r="L115" s="266"/>
      <c r="M115" s="266"/>
      <c r="N115" s="266"/>
      <c r="O115" s="288">
        <f t="shared" ref="O115" si="90">K115</f>
        <v>49500</v>
      </c>
      <c r="P115" s="307">
        <f>E115+J115</f>
        <v>49500</v>
      </c>
      <c r="R115" s="149" t="b">
        <f>K115='dod5'!I71</f>
        <v>1</v>
      </c>
    </row>
    <row r="116" spans="1:18" ht="135" x14ac:dyDescent="0.2">
      <c r="A116" s="280" t="s">
        <v>40</v>
      </c>
      <c r="B116" s="280"/>
      <c r="C116" s="280"/>
      <c r="D116" s="281" t="s">
        <v>41</v>
      </c>
      <c r="E116" s="282">
        <f>E117</f>
        <v>54119325</v>
      </c>
      <c r="F116" s="282">
        <f t="shared" ref="F116" si="91">F117</f>
        <v>54119325</v>
      </c>
      <c r="G116" s="282">
        <f t="shared" ref="G116" si="92">G117</f>
        <v>18457724</v>
      </c>
      <c r="H116" s="282">
        <f>H117</f>
        <v>1640593</v>
      </c>
      <c r="I116" s="282">
        <f t="shared" ref="I116" si="93">I117</f>
        <v>0</v>
      </c>
      <c r="J116" s="282">
        <f>J117</f>
        <v>5151984</v>
      </c>
      <c r="K116" s="282">
        <f>K117</f>
        <v>3135340</v>
      </c>
      <c r="L116" s="282">
        <f>L117</f>
        <v>2016644</v>
      </c>
      <c r="M116" s="282">
        <f t="shared" ref="M116" si="94">M117</f>
        <v>912155</v>
      </c>
      <c r="N116" s="282">
        <f>N117</f>
        <v>345236</v>
      </c>
      <c r="O116" s="282">
        <f>O117</f>
        <v>3135340</v>
      </c>
      <c r="P116" s="282">
        <f t="shared" ref="P116" si="95">P117</f>
        <v>59271309</v>
      </c>
    </row>
    <row r="117" spans="1:18" ht="135" x14ac:dyDescent="0.2">
      <c r="A117" s="283" t="s">
        <v>39</v>
      </c>
      <c r="B117" s="283"/>
      <c r="C117" s="283"/>
      <c r="D117" s="284" t="s">
        <v>58</v>
      </c>
      <c r="E117" s="285">
        <f>SUM(E118:E131)</f>
        <v>54119325</v>
      </c>
      <c r="F117" s="285">
        <f>SUM(F118:F131)</f>
        <v>54119325</v>
      </c>
      <c r="G117" s="285">
        <f>SUM(G118:G131)</f>
        <v>18457724</v>
      </c>
      <c r="H117" s="285">
        <f>SUM(H118:H131)</f>
        <v>1640593</v>
      </c>
      <c r="I117" s="285">
        <f>SUM(I118:I131)</f>
        <v>0</v>
      </c>
      <c r="J117" s="285">
        <f t="shared" ref="J117:J130" si="96">L117+O117</f>
        <v>5151984</v>
      </c>
      <c r="K117" s="285">
        <f>SUM(K118:K131)</f>
        <v>3135340</v>
      </c>
      <c r="L117" s="285">
        <f>SUM(L118:L131)</f>
        <v>2016644</v>
      </c>
      <c r="M117" s="285">
        <f>SUM(M118:M131)</f>
        <v>912155</v>
      </c>
      <c r="N117" s="285">
        <f>SUM(N118:N131)</f>
        <v>345236</v>
      </c>
      <c r="O117" s="285">
        <f>SUM(O118:O131)</f>
        <v>3135340</v>
      </c>
      <c r="P117" s="285">
        <f>E117+J117</f>
        <v>59271309</v>
      </c>
      <c r="Q117" s="148" t="b">
        <f>P117=P118+P119+P120+P121+P122+P123+P124+P125+P126+P127+P129+P130+P128+P131</f>
        <v>1</v>
      </c>
      <c r="R117" s="149" t="b">
        <f>K117='dod5'!I73</f>
        <v>1</v>
      </c>
    </row>
    <row r="118" spans="1:18" ht="137.25" x14ac:dyDescent="0.2">
      <c r="A118" s="311" t="s">
        <v>272</v>
      </c>
      <c r="B118" s="311" t="s">
        <v>273</v>
      </c>
      <c r="C118" s="311" t="s">
        <v>274</v>
      </c>
      <c r="D118" s="311" t="s">
        <v>275</v>
      </c>
      <c r="E118" s="279">
        <f t="shared" ref="E118:E121" si="97">F118</f>
        <v>3511988</v>
      </c>
      <c r="F118" s="266">
        <f>((3278423)+114920)+97250+21395</f>
        <v>3511988</v>
      </c>
      <c r="G118" s="266">
        <f>((2517500)+82000)+97250</f>
        <v>2696750</v>
      </c>
      <c r="H118" s="266">
        <v>66793</v>
      </c>
      <c r="I118" s="266"/>
      <c r="J118" s="307">
        <f t="shared" si="96"/>
        <v>53278</v>
      </c>
      <c r="K118" s="266">
        <v>53278</v>
      </c>
      <c r="L118" s="286"/>
      <c r="M118" s="286"/>
      <c r="N118" s="286"/>
      <c r="O118" s="288">
        <f t="shared" ref="O118:O130" si="98">K118</f>
        <v>53278</v>
      </c>
      <c r="P118" s="307">
        <f>+J118+E118</f>
        <v>3565266</v>
      </c>
      <c r="Q118" s="149"/>
      <c r="R118" s="149" t="b">
        <f>K118='dod5'!I74</f>
        <v>1</v>
      </c>
    </row>
    <row r="119" spans="1:18" ht="228.75" x14ac:dyDescent="0.2">
      <c r="A119" s="311" t="s">
        <v>72</v>
      </c>
      <c r="B119" s="311" t="s">
        <v>255</v>
      </c>
      <c r="C119" s="311" t="s">
        <v>274</v>
      </c>
      <c r="D119" s="311" t="s">
        <v>22</v>
      </c>
      <c r="E119" s="279">
        <f t="shared" si="97"/>
        <v>1225790</v>
      </c>
      <c r="F119" s="266">
        <f>(875790)+350000</f>
        <v>1225790</v>
      </c>
      <c r="G119" s="266"/>
      <c r="H119" s="266"/>
      <c r="I119" s="266"/>
      <c r="J119" s="307">
        <f t="shared" si="96"/>
        <v>0</v>
      </c>
      <c r="K119" s="266"/>
      <c r="L119" s="286"/>
      <c r="M119" s="286"/>
      <c r="N119" s="286"/>
      <c r="O119" s="288">
        <f t="shared" si="98"/>
        <v>0</v>
      </c>
      <c r="P119" s="307">
        <f>+J119+E119</f>
        <v>1225790</v>
      </c>
      <c r="R119" s="149"/>
    </row>
    <row r="120" spans="1:18" ht="91.5" x14ac:dyDescent="0.2">
      <c r="A120" s="311" t="s">
        <v>279</v>
      </c>
      <c r="B120" s="311" t="s">
        <v>280</v>
      </c>
      <c r="C120" s="311" t="s">
        <v>274</v>
      </c>
      <c r="D120" s="311" t="s">
        <v>23</v>
      </c>
      <c r="E120" s="279">
        <f t="shared" si="97"/>
        <v>3318391</v>
      </c>
      <c r="F120" s="266">
        <f>((3054118)+225250)+16100+23200-23200+22923</f>
        <v>3318391</v>
      </c>
      <c r="G120" s="266">
        <f>((1623800)+160000)+16100+23200</f>
        <v>1823100</v>
      </c>
      <c r="H120" s="266">
        <v>438288</v>
      </c>
      <c r="I120" s="266"/>
      <c r="J120" s="307">
        <f t="shared" si="96"/>
        <v>1414055</v>
      </c>
      <c r="K120" s="266">
        <f>((592430)+551506)+48687-120556+8000+8988</f>
        <v>1089055</v>
      </c>
      <c r="L120" s="286">
        <v>325000</v>
      </c>
      <c r="M120" s="286">
        <f>(189100)-34100</f>
        <v>155000</v>
      </c>
      <c r="N120" s="286">
        <v>89400</v>
      </c>
      <c r="O120" s="288">
        <f t="shared" si="98"/>
        <v>1089055</v>
      </c>
      <c r="P120" s="307">
        <f t="shared" ref="P120:P131" si="99">E120+J120</f>
        <v>4732446</v>
      </c>
      <c r="R120" s="149" t="b">
        <f>K120='dod5'!I75+'dod5'!I76+'dod5'!I77</f>
        <v>1</v>
      </c>
    </row>
    <row r="121" spans="1:18" ht="91.5" x14ac:dyDescent="0.2">
      <c r="A121" s="311" t="s">
        <v>564</v>
      </c>
      <c r="B121" s="311" t="s">
        <v>565</v>
      </c>
      <c r="C121" s="311" t="s">
        <v>274</v>
      </c>
      <c r="D121" s="311" t="s">
        <v>566</v>
      </c>
      <c r="E121" s="279">
        <f t="shared" si="97"/>
        <v>6005396</v>
      </c>
      <c r="F121" s="266">
        <f>((5640576+301303)+363517)-200000-100000</f>
        <v>6005396</v>
      </c>
      <c r="G121" s="266">
        <v>714843</v>
      </c>
      <c r="H121" s="266">
        <v>110000</v>
      </c>
      <c r="I121" s="266"/>
      <c r="J121" s="307">
        <f t="shared" si="96"/>
        <v>1276503</v>
      </c>
      <c r="K121" s="266">
        <f>((816103)+550600)-120200+30000</f>
        <v>1276503</v>
      </c>
      <c r="L121" s="286"/>
      <c r="M121" s="286"/>
      <c r="N121" s="286"/>
      <c r="O121" s="288">
        <f t="shared" si="98"/>
        <v>1276503</v>
      </c>
      <c r="P121" s="307">
        <f t="shared" si="99"/>
        <v>7281899</v>
      </c>
      <c r="R121" s="149" t="b">
        <f>K121='dod5'!I78</f>
        <v>1</v>
      </c>
    </row>
    <row r="122" spans="1:18" ht="137.25" x14ac:dyDescent="0.2">
      <c r="A122" s="311" t="s">
        <v>73</v>
      </c>
      <c r="B122" s="311" t="s">
        <v>276</v>
      </c>
      <c r="C122" s="311" t="s">
        <v>286</v>
      </c>
      <c r="D122" s="311" t="s">
        <v>74</v>
      </c>
      <c r="E122" s="279">
        <f t="shared" ref="E122:E127" si="100">F122</f>
        <v>12196475</v>
      </c>
      <c r="F122" s="266">
        <f>((10002475)+44000)+2000000+150000</f>
        <v>12196475</v>
      </c>
      <c r="G122" s="276"/>
      <c r="H122" s="276"/>
      <c r="I122" s="276"/>
      <c r="J122" s="307">
        <f t="shared" si="96"/>
        <v>0</v>
      </c>
      <c r="K122" s="276"/>
      <c r="L122" s="276"/>
      <c r="M122" s="276"/>
      <c r="N122" s="276"/>
      <c r="O122" s="288">
        <f t="shared" si="98"/>
        <v>0</v>
      </c>
      <c r="P122" s="307">
        <f t="shared" si="99"/>
        <v>12196475</v>
      </c>
      <c r="R122" s="149"/>
    </row>
    <row r="123" spans="1:18" ht="137.25" x14ac:dyDescent="0.2">
      <c r="A123" s="311" t="s">
        <v>75</v>
      </c>
      <c r="B123" s="311" t="s">
        <v>277</v>
      </c>
      <c r="C123" s="311" t="s">
        <v>286</v>
      </c>
      <c r="D123" s="311" t="s">
        <v>6</v>
      </c>
      <c r="E123" s="279">
        <f t="shared" si="100"/>
        <v>1807513</v>
      </c>
      <c r="F123" s="266">
        <f>((1727513)+30000)+50000</f>
        <v>1807513</v>
      </c>
      <c r="G123" s="276"/>
      <c r="H123" s="276"/>
      <c r="I123" s="276"/>
      <c r="J123" s="307">
        <f t="shared" si="96"/>
        <v>0</v>
      </c>
      <c r="K123" s="276"/>
      <c r="L123" s="276"/>
      <c r="M123" s="276"/>
      <c r="N123" s="276"/>
      <c r="O123" s="288">
        <f t="shared" si="98"/>
        <v>0</v>
      </c>
      <c r="P123" s="307">
        <f t="shared" si="99"/>
        <v>1807513</v>
      </c>
      <c r="R123" s="149"/>
    </row>
    <row r="124" spans="1:18" ht="183" x14ac:dyDescent="0.2">
      <c r="A124" s="311" t="s">
        <v>76</v>
      </c>
      <c r="B124" s="311" t="s">
        <v>278</v>
      </c>
      <c r="C124" s="311" t="s">
        <v>286</v>
      </c>
      <c r="D124" s="311" t="s">
        <v>560</v>
      </c>
      <c r="E124" s="279">
        <f>F124</f>
        <v>53014</v>
      </c>
      <c r="F124" s="266">
        <v>53014</v>
      </c>
      <c r="G124" s="266"/>
      <c r="H124" s="266"/>
      <c r="I124" s="276"/>
      <c r="J124" s="307">
        <f t="shared" si="96"/>
        <v>0</v>
      </c>
      <c r="K124" s="276"/>
      <c r="L124" s="266"/>
      <c r="M124" s="266"/>
      <c r="N124" s="266"/>
      <c r="O124" s="288">
        <f t="shared" si="98"/>
        <v>0</v>
      </c>
      <c r="P124" s="307">
        <f t="shared" si="99"/>
        <v>53014</v>
      </c>
      <c r="R124" s="149"/>
    </row>
    <row r="125" spans="1:18" ht="183" x14ac:dyDescent="0.2">
      <c r="A125" s="311" t="s">
        <v>49</v>
      </c>
      <c r="B125" s="311" t="s">
        <v>283</v>
      </c>
      <c r="C125" s="311" t="s">
        <v>286</v>
      </c>
      <c r="D125" s="311" t="s">
        <v>77</v>
      </c>
      <c r="E125" s="279">
        <f t="shared" si="100"/>
        <v>18783097</v>
      </c>
      <c r="F125" s="266">
        <f>((18126095)+615012)+54454+11980+47000+35190+6800-54454-11980-47000</f>
        <v>18783097</v>
      </c>
      <c r="G125" s="266">
        <f>(12402731)+54454-54454</f>
        <v>12402731</v>
      </c>
      <c r="H125" s="266">
        <v>1025512</v>
      </c>
      <c r="I125" s="266"/>
      <c r="J125" s="307">
        <f t="shared" si="96"/>
        <v>2266444</v>
      </c>
      <c r="K125" s="266">
        <f>(519800)+97000</f>
        <v>616800</v>
      </c>
      <c r="L125" s="266">
        <v>1649644</v>
      </c>
      <c r="M125" s="266">
        <v>757155</v>
      </c>
      <c r="N125" s="266">
        <v>255836</v>
      </c>
      <c r="O125" s="288">
        <f t="shared" si="98"/>
        <v>616800</v>
      </c>
      <c r="P125" s="307">
        <f t="shared" si="99"/>
        <v>21049541</v>
      </c>
      <c r="R125" s="149" t="b">
        <f>K125='dod5'!I79+'dod5'!I80</f>
        <v>1</v>
      </c>
    </row>
    <row r="126" spans="1:18" ht="183" x14ac:dyDescent="0.2">
      <c r="A126" s="311" t="s">
        <v>50</v>
      </c>
      <c r="B126" s="311" t="s">
        <v>284</v>
      </c>
      <c r="C126" s="311" t="s">
        <v>286</v>
      </c>
      <c r="D126" s="311" t="s">
        <v>78</v>
      </c>
      <c r="E126" s="279">
        <f t="shared" si="100"/>
        <v>4254685</v>
      </c>
      <c r="F126" s="266">
        <v>4254685</v>
      </c>
      <c r="G126" s="266"/>
      <c r="H126" s="266"/>
      <c r="I126" s="266"/>
      <c r="J126" s="307">
        <f t="shared" si="96"/>
        <v>0</v>
      </c>
      <c r="K126" s="266"/>
      <c r="L126" s="266"/>
      <c r="M126" s="266"/>
      <c r="N126" s="266"/>
      <c r="O126" s="288">
        <f t="shared" si="98"/>
        <v>0</v>
      </c>
      <c r="P126" s="307">
        <f t="shared" si="99"/>
        <v>4254685</v>
      </c>
      <c r="R126" s="149"/>
    </row>
    <row r="127" spans="1:18" ht="274.5" x14ac:dyDescent="0.2">
      <c r="A127" s="301" t="s">
        <v>51</v>
      </c>
      <c r="B127" s="301" t="s">
        <v>285</v>
      </c>
      <c r="C127" s="301" t="s">
        <v>286</v>
      </c>
      <c r="D127" s="311" t="s">
        <v>52</v>
      </c>
      <c r="E127" s="279">
        <f t="shared" si="100"/>
        <v>1585766</v>
      </c>
      <c r="F127" s="266">
        <f>((1500611)-44000)+129155</f>
        <v>1585766</v>
      </c>
      <c r="G127" s="276"/>
      <c r="H127" s="276"/>
      <c r="I127" s="276"/>
      <c r="J127" s="307">
        <f t="shared" si="96"/>
        <v>0</v>
      </c>
      <c r="K127" s="276"/>
      <c r="L127" s="276"/>
      <c r="M127" s="276"/>
      <c r="N127" s="276"/>
      <c r="O127" s="288">
        <f t="shared" si="98"/>
        <v>0</v>
      </c>
      <c r="P127" s="307">
        <f t="shared" si="99"/>
        <v>1585766</v>
      </c>
      <c r="R127" s="149"/>
    </row>
    <row r="128" spans="1:18" s="306" customFormat="1" ht="183" x14ac:dyDescent="0.2">
      <c r="A128" s="311" t="s">
        <v>968</v>
      </c>
      <c r="B128" s="311" t="s">
        <v>969</v>
      </c>
      <c r="C128" s="311" t="s">
        <v>286</v>
      </c>
      <c r="D128" s="311" t="s">
        <v>970</v>
      </c>
      <c r="E128" s="279">
        <f t="shared" ref="E128" si="101">F128</f>
        <v>68296</v>
      </c>
      <c r="F128" s="266">
        <v>68296</v>
      </c>
      <c r="G128" s="266"/>
      <c r="H128" s="266"/>
      <c r="I128" s="266"/>
      <c r="J128" s="307">
        <f t="shared" ref="J128" si="102">L128+O128</f>
        <v>0</v>
      </c>
      <c r="K128" s="266"/>
      <c r="L128" s="266"/>
      <c r="M128" s="266"/>
      <c r="N128" s="266"/>
      <c r="O128" s="288">
        <f t="shared" ref="O128" si="103">K128</f>
        <v>0</v>
      </c>
      <c r="P128" s="307">
        <f t="shared" ref="P128" si="104">E128+J128</f>
        <v>68296</v>
      </c>
      <c r="R128" s="312"/>
    </row>
    <row r="129" spans="1:18" ht="91.5" x14ac:dyDescent="0.2">
      <c r="A129" s="301" t="s">
        <v>53</v>
      </c>
      <c r="B129" s="301" t="s">
        <v>287</v>
      </c>
      <c r="C129" s="301" t="s">
        <v>286</v>
      </c>
      <c r="D129" s="311" t="s">
        <v>54</v>
      </c>
      <c r="E129" s="279">
        <f>F129</f>
        <v>1287914</v>
      </c>
      <c r="F129" s="266">
        <f>((1179249)+88165)+7000+1500+12000</f>
        <v>1287914</v>
      </c>
      <c r="G129" s="276">
        <f>(813300)+7000</f>
        <v>820300</v>
      </c>
      <c r="H129" s="276"/>
      <c r="I129" s="276"/>
      <c r="J129" s="307">
        <f t="shared" si="96"/>
        <v>42000</v>
      </c>
      <c r="K129" s="276"/>
      <c r="L129" s="276">
        <v>42000</v>
      </c>
      <c r="M129" s="276"/>
      <c r="N129" s="276"/>
      <c r="O129" s="288">
        <f t="shared" si="98"/>
        <v>0</v>
      </c>
      <c r="P129" s="307">
        <f t="shared" si="99"/>
        <v>1329914</v>
      </c>
      <c r="R129" s="149"/>
    </row>
    <row r="130" spans="1:18" ht="274.5" x14ac:dyDescent="0.2">
      <c r="A130" s="301" t="s">
        <v>534</v>
      </c>
      <c r="B130" s="301" t="s">
        <v>533</v>
      </c>
      <c r="C130" s="301" t="s">
        <v>532</v>
      </c>
      <c r="D130" s="311" t="s">
        <v>531</v>
      </c>
      <c r="E130" s="279">
        <f>F130</f>
        <v>21000</v>
      </c>
      <c r="F130" s="266">
        <v>21000</v>
      </c>
      <c r="G130" s="276"/>
      <c r="H130" s="276"/>
      <c r="I130" s="276"/>
      <c r="J130" s="307">
        <f t="shared" si="96"/>
        <v>0</v>
      </c>
      <c r="K130" s="276"/>
      <c r="L130" s="276"/>
      <c r="M130" s="276"/>
      <c r="N130" s="276"/>
      <c r="O130" s="288">
        <f t="shared" si="98"/>
        <v>0</v>
      </c>
      <c r="P130" s="307">
        <f t="shared" si="99"/>
        <v>21000</v>
      </c>
      <c r="R130" s="149"/>
    </row>
    <row r="131" spans="1:18" ht="91.5" x14ac:dyDescent="0.2">
      <c r="A131" s="311" t="s">
        <v>887</v>
      </c>
      <c r="B131" s="311" t="s">
        <v>288</v>
      </c>
      <c r="C131" s="311" t="s">
        <v>251</v>
      </c>
      <c r="D131" s="311" t="s">
        <v>57</v>
      </c>
      <c r="E131" s="279">
        <f>F131</f>
        <v>0</v>
      </c>
      <c r="F131" s="266">
        <f>30000-30000</f>
        <v>0</v>
      </c>
      <c r="G131" s="266"/>
      <c r="H131" s="266"/>
      <c r="I131" s="266"/>
      <c r="J131" s="307">
        <f>L131+O131</f>
        <v>99704</v>
      </c>
      <c r="K131" s="276">
        <v>99704</v>
      </c>
      <c r="L131" s="266"/>
      <c r="M131" s="266"/>
      <c r="N131" s="266"/>
      <c r="O131" s="288">
        <f>K131</f>
        <v>99704</v>
      </c>
      <c r="P131" s="307">
        <f t="shared" si="99"/>
        <v>99704</v>
      </c>
      <c r="R131" s="149" t="b">
        <f>K131='dod5'!I81</f>
        <v>1</v>
      </c>
    </row>
    <row r="132" spans="1:18" ht="180" x14ac:dyDescent="0.2">
      <c r="A132" s="280" t="s">
        <v>239</v>
      </c>
      <c r="B132" s="280"/>
      <c r="C132" s="280"/>
      <c r="D132" s="281" t="s">
        <v>42</v>
      </c>
      <c r="E132" s="282">
        <f>E133</f>
        <v>275928820</v>
      </c>
      <c r="F132" s="282">
        <f t="shared" ref="F132" si="105">F133</f>
        <v>275928820</v>
      </c>
      <c r="G132" s="282">
        <f t="shared" ref="G132" si="106">G133</f>
        <v>8148348</v>
      </c>
      <c r="H132" s="282">
        <f>H133</f>
        <v>230900</v>
      </c>
      <c r="I132" s="282">
        <f t="shared" ref="I132" si="107">I133</f>
        <v>0</v>
      </c>
      <c r="J132" s="282">
        <f>J133</f>
        <v>234344269.46000001</v>
      </c>
      <c r="K132" s="282">
        <f>K133</f>
        <v>233313347.31</v>
      </c>
      <c r="L132" s="282">
        <f>L133</f>
        <v>1001137</v>
      </c>
      <c r="M132" s="282">
        <f t="shared" ref="M132" si="108">M133</f>
        <v>0</v>
      </c>
      <c r="N132" s="282">
        <f>N133</f>
        <v>0</v>
      </c>
      <c r="O132" s="282">
        <f>O133</f>
        <v>233343132.46000001</v>
      </c>
      <c r="P132" s="282">
        <f>P133</f>
        <v>510273089.46000004</v>
      </c>
    </row>
    <row r="133" spans="1:18" ht="180" x14ac:dyDescent="0.2">
      <c r="A133" s="283" t="s">
        <v>240</v>
      </c>
      <c r="B133" s="283"/>
      <c r="C133" s="283"/>
      <c r="D133" s="284" t="s">
        <v>63</v>
      </c>
      <c r="E133" s="285">
        <f>SUM(E134:E153)</f>
        <v>275928820</v>
      </c>
      <c r="F133" s="285">
        <f>SUM(F134:F153)</f>
        <v>275928820</v>
      </c>
      <c r="G133" s="285">
        <f>SUM(G134:G153)</f>
        <v>8148348</v>
      </c>
      <c r="H133" s="285">
        <f>SUM(H134:H153)</f>
        <v>230900</v>
      </c>
      <c r="I133" s="285">
        <f>SUM(I134:I153)</f>
        <v>0</v>
      </c>
      <c r="J133" s="285">
        <f t="shared" ref="J133:J151" si="109">L133+O133</f>
        <v>234344269.46000001</v>
      </c>
      <c r="K133" s="285">
        <f>SUM(K134:K153)</f>
        <v>233313347.31</v>
      </c>
      <c r="L133" s="285">
        <f>SUM(L134:L153)</f>
        <v>1001137</v>
      </c>
      <c r="M133" s="285">
        <f>SUM(M134:M153)</f>
        <v>0</v>
      </c>
      <c r="N133" s="285">
        <f>SUM(N134:N153)</f>
        <v>0</v>
      </c>
      <c r="O133" s="285">
        <f>SUM(O134:O153)</f>
        <v>233343132.46000001</v>
      </c>
      <c r="P133" s="285">
        <f>E133+J133</f>
        <v>510273089.46000004</v>
      </c>
      <c r="Q133" s="148" t="b">
        <f>P133=P136+P138+P139+P140+P141+P142+P143+P147+P149+P150+P153+P137+P134+P145+P146+P151+P135+P144+P148</f>
        <v>1</v>
      </c>
      <c r="R133" s="149" t="b">
        <f>K133='dod5'!I83</f>
        <v>1</v>
      </c>
    </row>
    <row r="134" spans="1:18" ht="228.75" x14ac:dyDescent="0.2">
      <c r="A134" s="311" t="s">
        <v>724</v>
      </c>
      <c r="B134" s="311" t="s">
        <v>336</v>
      </c>
      <c r="C134" s="311" t="s">
        <v>334</v>
      </c>
      <c r="D134" s="311" t="s">
        <v>335</v>
      </c>
      <c r="E134" s="279">
        <f>F134</f>
        <v>9671200</v>
      </c>
      <c r="F134" s="266">
        <f>((9531200)-49300+160000)+25300+4000</f>
        <v>9671200</v>
      </c>
      <c r="G134" s="266">
        <v>7129200</v>
      </c>
      <c r="H134" s="266">
        <f>(134000)+25300+4000</f>
        <v>163300</v>
      </c>
      <c r="I134" s="266"/>
      <c r="J134" s="307">
        <f t="shared" si="109"/>
        <v>0</v>
      </c>
      <c r="K134" s="266"/>
      <c r="L134" s="286"/>
      <c r="M134" s="286"/>
      <c r="N134" s="286"/>
      <c r="O134" s="288">
        <f t="shared" ref="O134:O150" si="110">K134</f>
        <v>0</v>
      </c>
      <c r="P134" s="307">
        <f t="shared" ref="P134:P140" si="111">+J134+E134</f>
        <v>9671200</v>
      </c>
      <c r="Q134" s="148"/>
      <c r="R134" s="149"/>
    </row>
    <row r="135" spans="1:18" ht="91.5" x14ac:dyDescent="0.2">
      <c r="A135" s="311" t="s">
        <v>817</v>
      </c>
      <c r="B135" s="311" t="s">
        <v>71</v>
      </c>
      <c r="C135" s="311" t="s">
        <v>70</v>
      </c>
      <c r="D135" s="311" t="s">
        <v>349</v>
      </c>
      <c r="E135" s="279">
        <f>F135</f>
        <v>146300</v>
      </c>
      <c r="F135" s="266">
        <f>(49300)+97000</f>
        <v>146300</v>
      </c>
      <c r="G135" s="266"/>
      <c r="H135" s="266"/>
      <c r="I135" s="266"/>
      <c r="J135" s="307">
        <f t="shared" ref="J135" si="112">L135+O135</f>
        <v>0</v>
      </c>
      <c r="K135" s="266"/>
      <c r="L135" s="286"/>
      <c r="M135" s="286"/>
      <c r="N135" s="286"/>
      <c r="O135" s="288">
        <f t="shared" ref="O135" si="113">K135</f>
        <v>0</v>
      </c>
      <c r="P135" s="307">
        <f t="shared" ref="P135" si="114">+J135+E135</f>
        <v>146300</v>
      </c>
      <c r="Q135" s="148"/>
      <c r="R135" s="149"/>
    </row>
    <row r="136" spans="1:18" ht="137.25" x14ac:dyDescent="0.2">
      <c r="A136" s="311" t="s">
        <v>412</v>
      </c>
      <c r="B136" s="311" t="s">
        <v>413</v>
      </c>
      <c r="C136" s="311" t="s">
        <v>532</v>
      </c>
      <c r="D136" s="311" t="s">
        <v>414</v>
      </c>
      <c r="E136" s="279">
        <f t="shared" ref="E136:E153" si="115">F136</f>
        <v>2183600</v>
      </c>
      <c r="F136" s="266">
        <v>2183600</v>
      </c>
      <c r="G136" s="266"/>
      <c r="H136" s="266"/>
      <c r="I136" s="266"/>
      <c r="J136" s="307">
        <f t="shared" si="109"/>
        <v>4550000</v>
      </c>
      <c r="K136" s="266">
        <v>4550000</v>
      </c>
      <c r="L136" s="286"/>
      <c r="M136" s="286"/>
      <c r="N136" s="286"/>
      <c r="O136" s="288">
        <f t="shared" si="110"/>
        <v>4550000</v>
      </c>
      <c r="P136" s="307">
        <f t="shared" si="111"/>
        <v>6733600</v>
      </c>
    </row>
    <row r="137" spans="1:18" ht="137.25" x14ac:dyDescent="0.2">
      <c r="A137" s="311" t="s">
        <v>631</v>
      </c>
      <c r="B137" s="311" t="s">
        <v>632</v>
      </c>
      <c r="C137" s="311" t="s">
        <v>415</v>
      </c>
      <c r="D137" s="311" t="s">
        <v>633</v>
      </c>
      <c r="E137" s="279">
        <f t="shared" si="115"/>
        <v>29000000</v>
      </c>
      <c r="F137" s="266">
        <f>(18000000)+12000000-1000000</f>
        <v>29000000</v>
      </c>
      <c r="G137" s="266"/>
      <c r="H137" s="266"/>
      <c r="I137" s="266"/>
      <c r="J137" s="307">
        <f t="shared" si="109"/>
        <v>0</v>
      </c>
      <c r="K137" s="266"/>
      <c r="L137" s="286"/>
      <c r="M137" s="286"/>
      <c r="N137" s="286"/>
      <c r="O137" s="288">
        <f t="shared" si="110"/>
        <v>0</v>
      </c>
      <c r="P137" s="307">
        <f t="shared" si="111"/>
        <v>29000000</v>
      </c>
    </row>
    <row r="138" spans="1:18" ht="137.25" x14ac:dyDescent="0.2">
      <c r="A138" s="311" t="s">
        <v>419</v>
      </c>
      <c r="B138" s="311" t="s">
        <v>420</v>
      </c>
      <c r="C138" s="311" t="s">
        <v>415</v>
      </c>
      <c r="D138" s="311" t="s">
        <v>421</v>
      </c>
      <c r="E138" s="279">
        <f t="shared" si="115"/>
        <v>16553700</v>
      </c>
      <c r="F138" s="266">
        <f>((5553700)+5000000)+5000000+1000000</f>
        <v>16553700</v>
      </c>
      <c r="G138" s="266"/>
      <c r="H138" s="266"/>
      <c r="I138" s="266"/>
      <c r="J138" s="307">
        <f t="shared" si="109"/>
        <v>0</v>
      </c>
      <c r="K138" s="266"/>
      <c r="L138" s="286"/>
      <c r="M138" s="286"/>
      <c r="N138" s="286"/>
      <c r="O138" s="288">
        <f t="shared" si="110"/>
        <v>0</v>
      </c>
      <c r="P138" s="307">
        <f t="shared" si="111"/>
        <v>16553700</v>
      </c>
    </row>
    <row r="139" spans="1:18" ht="137.25" x14ac:dyDescent="0.2">
      <c r="A139" s="311" t="s">
        <v>442</v>
      </c>
      <c r="B139" s="311" t="s">
        <v>443</v>
      </c>
      <c r="C139" s="311" t="s">
        <v>415</v>
      </c>
      <c r="D139" s="311" t="s">
        <v>444</v>
      </c>
      <c r="E139" s="279">
        <f t="shared" si="115"/>
        <v>0</v>
      </c>
      <c r="F139" s="266"/>
      <c r="G139" s="266"/>
      <c r="H139" s="266"/>
      <c r="I139" s="266"/>
      <c r="J139" s="307">
        <f t="shared" si="109"/>
        <v>5770000</v>
      </c>
      <c r="K139" s="266">
        <v>5770000</v>
      </c>
      <c r="L139" s="286"/>
      <c r="M139" s="286"/>
      <c r="N139" s="286"/>
      <c r="O139" s="288">
        <f t="shared" si="110"/>
        <v>5770000</v>
      </c>
      <c r="P139" s="307">
        <f t="shared" si="111"/>
        <v>5770000</v>
      </c>
    </row>
    <row r="140" spans="1:18" ht="183" x14ac:dyDescent="0.2">
      <c r="A140" s="311" t="s">
        <v>416</v>
      </c>
      <c r="B140" s="311" t="s">
        <v>417</v>
      </c>
      <c r="C140" s="311" t="s">
        <v>415</v>
      </c>
      <c r="D140" s="311" t="s">
        <v>418</v>
      </c>
      <c r="E140" s="279">
        <f t="shared" si="115"/>
        <v>0</v>
      </c>
      <c r="F140" s="266">
        <v>0</v>
      </c>
      <c r="G140" s="266"/>
      <c r="H140" s="266"/>
      <c r="I140" s="266"/>
      <c r="J140" s="307">
        <f t="shared" si="109"/>
        <v>24331028</v>
      </c>
      <c r="K140" s="266">
        <f>((23000000)+271028+1000000)+60000</f>
        <v>24331028</v>
      </c>
      <c r="L140" s="286"/>
      <c r="M140" s="286"/>
      <c r="N140" s="286"/>
      <c r="O140" s="288">
        <f t="shared" si="110"/>
        <v>24331028</v>
      </c>
      <c r="P140" s="307">
        <f t="shared" si="111"/>
        <v>24331028</v>
      </c>
    </row>
    <row r="141" spans="1:18" ht="228.75" x14ac:dyDescent="0.2">
      <c r="A141" s="311" t="s">
        <v>436</v>
      </c>
      <c r="B141" s="311" t="s">
        <v>437</v>
      </c>
      <c r="C141" s="311" t="s">
        <v>415</v>
      </c>
      <c r="D141" s="311" t="s">
        <v>438</v>
      </c>
      <c r="E141" s="279">
        <f t="shared" si="115"/>
        <v>369575</v>
      </c>
      <c r="F141" s="266">
        <f>((370575)+100000)-101000</f>
        <v>369575</v>
      </c>
      <c r="G141" s="266"/>
      <c r="H141" s="266"/>
      <c r="I141" s="266"/>
      <c r="J141" s="307">
        <f t="shared" si="109"/>
        <v>0</v>
      </c>
      <c r="K141" s="276"/>
      <c r="L141" s="266"/>
      <c r="M141" s="266"/>
      <c r="N141" s="266"/>
      <c r="O141" s="288">
        <f t="shared" si="110"/>
        <v>0</v>
      </c>
      <c r="P141" s="307">
        <f t="shared" ref="P141:P146" si="116">E141+J141</f>
        <v>369575</v>
      </c>
    </row>
    <row r="142" spans="1:18" ht="91.5" x14ac:dyDescent="0.2">
      <c r="A142" s="311" t="s">
        <v>422</v>
      </c>
      <c r="B142" s="311" t="s">
        <v>423</v>
      </c>
      <c r="C142" s="311" t="s">
        <v>415</v>
      </c>
      <c r="D142" s="311" t="s">
        <v>424</v>
      </c>
      <c r="E142" s="279">
        <f t="shared" si="115"/>
        <v>125592225</v>
      </c>
      <c r="F142" s="266">
        <f>(119582180)+6010045</f>
        <v>125592225</v>
      </c>
      <c r="G142" s="266"/>
      <c r="H142" s="266">
        <f>((10000)+5000)+40000</f>
        <v>55000</v>
      </c>
      <c r="I142" s="266"/>
      <c r="J142" s="307">
        <f t="shared" si="109"/>
        <v>23961401</v>
      </c>
      <c r="K142" s="276">
        <f>(24145451)-184050</f>
        <v>23961401</v>
      </c>
      <c r="L142" s="266"/>
      <c r="M142" s="266"/>
      <c r="N142" s="266"/>
      <c r="O142" s="288">
        <f t="shared" si="110"/>
        <v>23961401</v>
      </c>
      <c r="P142" s="307">
        <f t="shared" si="116"/>
        <v>149553626</v>
      </c>
    </row>
    <row r="143" spans="1:18" ht="92.25" x14ac:dyDescent="0.2">
      <c r="A143" s="311" t="s">
        <v>446</v>
      </c>
      <c r="B143" s="311" t="s">
        <v>447</v>
      </c>
      <c r="C143" s="311" t="s">
        <v>445</v>
      </c>
      <c r="D143" s="311" t="s">
        <v>448</v>
      </c>
      <c r="E143" s="279">
        <f t="shared" si="115"/>
        <v>0</v>
      </c>
      <c r="F143" s="266"/>
      <c r="G143" s="266"/>
      <c r="H143" s="266"/>
      <c r="I143" s="266"/>
      <c r="J143" s="307">
        <f>L143+O143</f>
        <v>8628600</v>
      </c>
      <c r="K143" s="276">
        <f>(((18518000)-4000000-8818000)+2728600)+200000</f>
        <v>8628600</v>
      </c>
      <c r="L143" s="266"/>
      <c r="M143" s="266"/>
      <c r="N143" s="266"/>
      <c r="O143" s="288">
        <f>K143</f>
        <v>8628600</v>
      </c>
      <c r="P143" s="307">
        <f t="shared" si="116"/>
        <v>8628600</v>
      </c>
    </row>
    <row r="144" spans="1:18" ht="137.25" x14ac:dyDescent="0.2">
      <c r="A144" s="311" t="s">
        <v>841</v>
      </c>
      <c r="B144" s="311" t="s">
        <v>562</v>
      </c>
      <c r="C144" s="311" t="s">
        <v>251</v>
      </c>
      <c r="D144" s="311" t="s">
        <v>393</v>
      </c>
      <c r="E144" s="279">
        <f t="shared" ref="E144" si="117">F144</f>
        <v>0</v>
      </c>
      <c r="F144" s="266"/>
      <c r="G144" s="266"/>
      <c r="H144" s="266"/>
      <c r="I144" s="266"/>
      <c r="J144" s="307">
        <f>L144+O144</f>
        <v>38028000</v>
      </c>
      <c r="K144" s="276">
        <v>38028000</v>
      </c>
      <c r="L144" s="266"/>
      <c r="M144" s="266"/>
      <c r="N144" s="266"/>
      <c r="O144" s="288">
        <f>K144</f>
        <v>38028000</v>
      </c>
      <c r="P144" s="307">
        <f t="shared" si="116"/>
        <v>38028000</v>
      </c>
    </row>
    <row r="145" spans="1:18" ht="91.5" x14ac:dyDescent="0.2">
      <c r="A145" s="311" t="s">
        <v>707</v>
      </c>
      <c r="B145" s="311" t="s">
        <v>708</v>
      </c>
      <c r="C145" s="311" t="s">
        <v>709</v>
      </c>
      <c r="D145" s="311" t="s">
        <v>710</v>
      </c>
      <c r="E145" s="279">
        <f t="shared" si="115"/>
        <v>0</v>
      </c>
      <c r="F145" s="266">
        <f>((10620634)+5767000)-16387634</f>
        <v>0</v>
      </c>
      <c r="G145" s="266"/>
      <c r="H145" s="266"/>
      <c r="I145" s="266"/>
      <c r="J145" s="307">
        <f t="shared" si="109"/>
        <v>0</v>
      </c>
      <c r="K145" s="276"/>
      <c r="L145" s="266"/>
      <c r="M145" s="266"/>
      <c r="N145" s="266"/>
      <c r="O145" s="288">
        <f t="shared" si="110"/>
        <v>0</v>
      </c>
      <c r="P145" s="307">
        <f t="shared" si="116"/>
        <v>0</v>
      </c>
    </row>
    <row r="146" spans="1:18" ht="91.5" x14ac:dyDescent="0.2">
      <c r="A146" s="311" t="s">
        <v>425</v>
      </c>
      <c r="B146" s="311" t="s">
        <v>426</v>
      </c>
      <c r="C146" s="311" t="s">
        <v>428</v>
      </c>
      <c r="D146" s="311" t="s">
        <v>427</v>
      </c>
      <c r="E146" s="279">
        <f t="shared" si="115"/>
        <v>24482535</v>
      </c>
      <c r="F146" s="266">
        <f>((16217135)+9633000)-1367600</f>
        <v>24482535</v>
      </c>
      <c r="G146" s="266"/>
      <c r="H146" s="266"/>
      <c r="I146" s="266"/>
      <c r="J146" s="307">
        <f t="shared" si="109"/>
        <v>0</v>
      </c>
      <c r="K146" s="276"/>
      <c r="L146" s="266"/>
      <c r="M146" s="266"/>
      <c r="N146" s="266"/>
      <c r="O146" s="288">
        <f t="shared" si="110"/>
        <v>0</v>
      </c>
      <c r="P146" s="307">
        <f t="shared" si="116"/>
        <v>24482535</v>
      </c>
    </row>
    <row r="147" spans="1:18" ht="228.75" x14ac:dyDescent="0.2">
      <c r="A147" s="311" t="s">
        <v>429</v>
      </c>
      <c r="B147" s="311" t="s">
        <v>430</v>
      </c>
      <c r="C147" s="311" t="s">
        <v>432</v>
      </c>
      <c r="D147" s="311" t="s">
        <v>431</v>
      </c>
      <c r="E147" s="279">
        <f t="shared" si="115"/>
        <v>66101675</v>
      </c>
      <c r="F147" s="266">
        <v>66101675</v>
      </c>
      <c r="G147" s="266"/>
      <c r="H147" s="266"/>
      <c r="I147" s="266"/>
      <c r="J147" s="307">
        <f t="shared" si="109"/>
        <v>83446710.780000001</v>
      </c>
      <c r="K147" s="266">
        <f>(82763108-570000)+3377030.11-31243.48-250000+31-1000000-500000-372000</f>
        <v>83416925.629999995</v>
      </c>
      <c r="L147" s="286"/>
      <c r="M147" s="286"/>
      <c r="N147" s="286"/>
      <c r="O147" s="288">
        <f>(K147+31243.48)-1458.33</f>
        <v>83446710.780000001</v>
      </c>
      <c r="P147" s="307">
        <f>+J147+E147</f>
        <v>149548385.78</v>
      </c>
    </row>
    <row r="148" spans="1:18" s="277" customFormat="1" ht="228.75" x14ac:dyDescent="0.2">
      <c r="A148" s="311" t="s">
        <v>950</v>
      </c>
      <c r="B148" s="311" t="s">
        <v>951</v>
      </c>
      <c r="C148" s="311" t="s">
        <v>432</v>
      </c>
      <c r="D148" s="311" t="s">
        <v>952</v>
      </c>
      <c r="E148" s="279">
        <f t="shared" ref="E148" si="118">F148</f>
        <v>0</v>
      </c>
      <c r="F148" s="266"/>
      <c r="G148" s="266"/>
      <c r="H148" s="266"/>
      <c r="I148" s="266"/>
      <c r="J148" s="307">
        <f t="shared" ref="J148" si="119">L148+O148</f>
        <v>1400000</v>
      </c>
      <c r="K148" s="266">
        <v>1400000</v>
      </c>
      <c r="L148" s="286"/>
      <c r="M148" s="286"/>
      <c r="N148" s="286"/>
      <c r="O148" s="288">
        <f>K148</f>
        <v>1400000</v>
      </c>
      <c r="P148" s="307">
        <f>+J148+E148</f>
        <v>1400000</v>
      </c>
    </row>
    <row r="149" spans="1:18" ht="46.5" x14ac:dyDescent="0.2">
      <c r="A149" s="311" t="s">
        <v>433</v>
      </c>
      <c r="B149" s="311" t="s">
        <v>312</v>
      </c>
      <c r="C149" s="311" t="s">
        <v>313</v>
      </c>
      <c r="D149" s="311" t="s">
        <v>67</v>
      </c>
      <c r="E149" s="279">
        <f t="shared" si="115"/>
        <v>550000</v>
      </c>
      <c r="F149" s="266">
        <f>(250000)+300000</f>
        <v>550000</v>
      </c>
      <c r="G149" s="266"/>
      <c r="H149" s="266"/>
      <c r="I149" s="266"/>
      <c r="J149" s="307">
        <f t="shared" si="109"/>
        <v>950000</v>
      </c>
      <c r="K149" s="276">
        <f>(1000000+250000)-300000</f>
        <v>950000</v>
      </c>
      <c r="L149" s="266"/>
      <c r="M149" s="266"/>
      <c r="N149" s="266"/>
      <c r="O149" s="288">
        <f t="shared" si="110"/>
        <v>950000</v>
      </c>
      <c r="P149" s="307">
        <f>E149+J149</f>
        <v>1500000</v>
      </c>
    </row>
    <row r="150" spans="1:18" ht="91.5" x14ac:dyDescent="0.65">
      <c r="A150" s="311" t="s">
        <v>450</v>
      </c>
      <c r="B150" s="311" t="s">
        <v>288</v>
      </c>
      <c r="C150" s="311" t="s">
        <v>251</v>
      </c>
      <c r="D150" s="311" t="s">
        <v>57</v>
      </c>
      <c r="E150" s="279">
        <f t="shared" si="115"/>
        <v>0</v>
      </c>
      <c r="F150" s="266"/>
      <c r="G150" s="266"/>
      <c r="H150" s="266"/>
      <c r="I150" s="266"/>
      <c r="J150" s="307">
        <f t="shared" si="109"/>
        <v>42277392.68</v>
      </c>
      <c r="K150" s="276">
        <f>(41440992.68)+836400</f>
        <v>42277392.68</v>
      </c>
      <c r="L150" s="266"/>
      <c r="M150" s="266"/>
      <c r="N150" s="266"/>
      <c r="O150" s="288">
        <f t="shared" si="110"/>
        <v>42277392.68</v>
      </c>
      <c r="P150" s="307">
        <f>E150+J150</f>
        <v>42277392.68</v>
      </c>
      <c r="Q150" s="159"/>
    </row>
    <row r="151" spans="1:18" ht="409.5" x14ac:dyDescent="0.2">
      <c r="A151" s="461" t="s">
        <v>731</v>
      </c>
      <c r="B151" s="461" t="s">
        <v>528</v>
      </c>
      <c r="C151" s="461" t="s">
        <v>251</v>
      </c>
      <c r="D151" s="289" t="s">
        <v>539</v>
      </c>
      <c r="E151" s="457">
        <f t="shared" si="115"/>
        <v>0</v>
      </c>
      <c r="F151" s="452"/>
      <c r="G151" s="452"/>
      <c r="H151" s="452"/>
      <c r="I151" s="452"/>
      <c r="J151" s="465">
        <f t="shared" si="109"/>
        <v>1001137</v>
      </c>
      <c r="K151" s="452"/>
      <c r="L151" s="452">
        <f>(1424137)-423000</f>
        <v>1001137</v>
      </c>
      <c r="M151" s="452"/>
      <c r="N151" s="452"/>
      <c r="O151" s="450">
        <f>K151+0</f>
        <v>0</v>
      </c>
      <c r="P151" s="457">
        <f>E151+J151</f>
        <v>1001137</v>
      </c>
      <c r="Q151" s="221">
        <f>P151</f>
        <v>1001137</v>
      </c>
    </row>
    <row r="152" spans="1:18" ht="137.25" x14ac:dyDescent="0.65">
      <c r="A152" s="462"/>
      <c r="B152" s="462"/>
      <c r="C152" s="462"/>
      <c r="D152" s="290" t="s">
        <v>540</v>
      </c>
      <c r="E152" s="460"/>
      <c r="F152" s="463"/>
      <c r="G152" s="463"/>
      <c r="H152" s="463"/>
      <c r="I152" s="463"/>
      <c r="J152" s="476"/>
      <c r="K152" s="463"/>
      <c r="L152" s="463"/>
      <c r="M152" s="463"/>
      <c r="N152" s="463"/>
      <c r="O152" s="451"/>
      <c r="P152" s="460"/>
      <c r="Q152" s="159"/>
    </row>
    <row r="153" spans="1:18" ht="91.5" x14ac:dyDescent="0.2">
      <c r="A153" s="311" t="s">
        <v>380</v>
      </c>
      <c r="B153" s="311" t="s">
        <v>381</v>
      </c>
      <c r="C153" s="311" t="s">
        <v>382</v>
      </c>
      <c r="D153" s="311" t="s">
        <v>379</v>
      </c>
      <c r="E153" s="279">
        <f t="shared" si="115"/>
        <v>1278010</v>
      </c>
      <c r="F153" s="266">
        <f>(1250990)+27020</f>
        <v>1278010</v>
      </c>
      <c r="G153" s="266">
        <f>(843750+143550)+31848</f>
        <v>1019148</v>
      </c>
      <c r="H153" s="266">
        <v>12600</v>
      </c>
      <c r="I153" s="266"/>
      <c r="J153" s="307">
        <f>L153+O153</f>
        <v>0</v>
      </c>
      <c r="K153" s="276"/>
      <c r="L153" s="266"/>
      <c r="M153" s="266"/>
      <c r="N153" s="266"/>
      <c r="O153" s="288">
        <f>K153</f>
        <v>0</v>
      </c>
      <c r="P153" s="307">
        <f>E153+J153</f>
        <v>1278010</v>
      </c>
    </row>
    <row r="154" spans="1:18" ht="315" x14ac:dyDescent="0.2">
      <c r="A154" s="280" t="s">
        <v>44</v>
      </c>
      <c r="B154" s="280"/>
      <c r="C154" s="280"/>
      <c r="D154" s="281" t="s">
        <v>625</v>
      </c>
      <c r="E154" s="282">
        <f>E155</f>
        <v>2908890</v>
      </c>
      <c r="F154" s="282">
        <f t="shared" ref="F154" si="120">F155</f>
        <v>2908890</v>
      </c>
      <c r="G154" s="282">
        <f t="shared" ref="G154" si="121">G155</f>
        <v>1871300</v>
      </c>
      <c r="H154" s="282">
        <f>H155</f>
        <v>56240</v>
      </c>
      <c r="I154" s="282">
        <f t="shared" ref="I154" si="122">I155</f>
        <v>0</v>
      </c>
      <c r="J154" s="282">
        <f>J155</f>
        <v>112071080</v>
      </c>
      <c r="K154" s="282">
        <f>K155</f>
        <v>112071080</v>
      </c>
      <c r="L154" s="282">
        <f>L155</f>
        <v>0</v>
      </c>
      <c r="M154" s="282">
        <f t="shared" ref="M154" si="123">M155</f>
        <v>0</v>
      </c>
      <c r="N154" s="282">
        <f>N155</f>
        <v>0</v>
      </c>
      <c r="O154" s="282">
        <f>O155</f>
        <v>112071080</v>
      </c>
      <c r="P154" s="282">
        <f t="shared" ref="P154" si="124">P155</f>
        <v>114979970</v>
      </c>
    </row>
    <row r="155" spans="1:18" ht="270" x14ac:dyDescent="0.2">
      <c r="A155" s="283" t="s">
        <v>45</v>
      </c>
      <c r="B155" s="283"/>
      <c r="C155" s="283"/>
      <c r="D155" s="284" t="s">
        <v>624</v>
      </c>
      <c r="E155" s="285">
        <f>SUM(E156:E162)</f>
        <v>2908890</v>
      </c>
      <c r="F155" s="285">
        <f t="shared" ref="F155:K155" si="125">SUM(F156:F162)</f>
        <v>2908890</v>
      </c>
      <c r="G155" s="285">
        <f t="shared" si="125"/>
        <v>1871300</v>
      </c>
      <c r="H155" s="285">
        <f t="shared" si="125"/>
        <v>56240</v>
      </c>
      <c r="I155" s="285">
        <f t="shared" si="125"/>
        <v>0</v>
      </c>
      <c r="J155" s="285">
        <f t="shared" ref="J155:J162" si="126">L155+O155</f>
        <v>112071080</v>
      </c>
      <c r="K155" s="285">
        <f t="shared" si="125"/>
        <v>112071080</v>
      </c>
      <c r="L155" s="285">
        <f t="shared" ref="L155" si="127">SUM(L156:L162)</f>
        <v>0</v>
      </c>
      <c r="M155" s="285">
        <f t="shared" ref="M155" si="128">SUM(M156:M162)</f>
        <v>0</v>
      </c>
      <c r="N155" s="285">
        <f t="shared" ref="N155" si="129">SUM(N156:N162)</f>
        <v>0</v>
      </c>
      <c r="O155" s="285">
        <f t="shared" ref="O155" si="130">SUM(O156:O162)</f>
        <v>112071080</v>
      </c>
      <c r="P155" s="285">
        <f t="shared" ref="P155:P162" si="131">E155+J155</f>
        <v>114979970</v>
      </c>
      <c r="Q155" s="148" t="b">
        <f>P155=P159+P160+P161+P156+P157+P162+P158</f>
        <v>1</v>
      </c>
      <c r="R155" s="149" t="b">
        <f>K155='dod5'!I141</f>
        <v>1</v>
      </c>
    </row>
    <row r="156" spans="1:18" ht="228.75" x14ac:dyDescent="0.2">
      <c r="A156" s="311" t="s">
        <v>720</v>
      </c>
      <c r="B156" s="311" t="s">
        <v>336</v>
      </c>
      <c r="C156" s="311" t="s">
        <v>334</v>
      </c>
      <c r="D156" s="311" t="s">
        <v>335</v>
      </c>
      <c r="E156" s="431">
        <f>F156</f>
        <v>2513040</v>
      </c>
      <c r="F156" s="276">
        <f>((2696500)-289700+55000)+95000+16000-16000-43760</f>
        <v>2513040</v>
      </c>
      <c r="G156" s="276">
        <f>(1776300)+95000</f>
        <v>1871300</v>
      </c>
      <c r="H156" s="276">
        <f>(100000)-43760</f>
        <v>56240</v>
      </c>
      <c r="I156" s="276"/>
      <c r="J156" s="307">
        <f t="shared" si="126"/>
        <v>17880</v>
      </c>
      <c r="K156" s="276">
        <f>(10400)+7480</f>
        <v>17880</v>
      </c>
      <c r="L156" s="276"/>
      <c r="M156" s="276"/>
      <c r="N156" s="276"/>
      <c r="O156" s="288">
        <f>K156</f>
        <v>17880</v>
      </c>
      <c r="P156" s="307">
        <f t="shared" si="131"/>
        <v>2530920</v>
      </c>
      <c r="Q156" s="148"/>
      <c r="R156" s="149" t="b">
        <f>K156='dod5'!I143</f>
        <v>1</v>
      </c>
    </row>
    <row r="157" spans="1:18" ht="91.5" x14ac:dyDescent="0.2">
      <c r="A157" s="311" t="s">
        <v>815</v>
      </c>
      <c r="B157" s="311" t="s">
        <v>71</v>
      </c>
      <c r="C157" s="311" t="s">
        <v>70</v>
      </c>
      <c r="D157" s="311" t="s">
        <v>349</v>
      </c>
      <c r="E157" s="307">
        <f>F157</f>
        <v>395850</v>
      </c>
      <c r="F157" s="276">
        <f>(289700+266000)-140000-19850</f>
        <v>395850</v>
      </c>
      <c r="G157" s="276"/>
      <c r="H157" s="276"/>
      <c r="I157" s="276"/>
      <c r="J157" s="307">
        <f t="shared" si="126"/>
        <v>0</v>
      </c>
      <c r="K157" s="276"/>
      <c r="L157" s="276"/>
      <c r="M157" s="276"/>
      <c r="N157" s="276"/>
      <c r="O157" s="288">
        <f t="shared" ref="O157:O158" si="132">K157</f>
        <v>0</v>
      </c>
      <c r="P157" s="307">
        <f t="shared" si="131"/>
        <v>395850</v>
      </c>
      <c r="Q157" s="148"/>
      <c r="R157" s="149"/>
    </row>
    <row r="158" spans="1:18" ht="320.25" x14ac:dyDescent="0.2">
      <c r="A158" s="311" t="s">
        <v>819</v>
      </c>
      <c r="B158" s="311" t="s">
        <v>821</v>
      </c>
      <c r="C158" s="311" t="s">
        <v>286</v>
      </c>
      <c r="D158" s="311" t="s">
        <v>820</v>
      </c>
      <c r="E158" s="307">
        <f t="shared" ref="E158" si="133">F158</f>
        <v>0</v>
      </c>
      <c r="F158" s="276"/>
      <c r="G158" s="276"/>
      <c r="H158" s="276"/>
      <c r="I158" s="276"/>
      <c r="J158" s="307">
        <f t="shared" si="126"/>
        <v>42787000</v>
      </c>
      <c r="K158" s="276">
        <f>(55287000)-12500000</f>
        <v>42787000</v>
      </c>
      <c r="L158" s="276"/>
      <c r="M158" s="276"/>
      <c r="N158" s="276"/>
      <c r="O158" s="288">
        <f t="shared" si="132"/>
        <v>42787000</v>
      </c>
      <c r="P158" s="307">
        <f t="shared" si="131"/>
        <v>42787000</v>
      </c>
      <c r="Q158" s="148"/>
      <c r="R158" s="149"/>
    </row>
    <row r="159" spans="1:18" ht="91.5" x14ac:dyDescent="0.2">
      <c r="A159" s="311" t="s">
        <v>464</v>
      </c>
      <c r="B159" s="311" t="s">
        <v>465</v>
      </c>
      <c r="C159" s="311" t="s">
        <v>445</v>
      </c>
      <c r="D159" s="311" t="s">
        <v>463</v>
      </c>
      <c r="E159" s="307">
        <f t="shared" ref="E159:E160" si="134">F159</f>
        <v>0</v>
      </c>
      <c r="F159" s="276"/>
      <c r="G159" s="276"/>
      <c r="H159" s="276"/>
      <c r="I159" s="276"/>
      <c r="J159" s="307">
        <f t="shared" si="126"/>
        <v>23900000</v>
      </c>
      <c r="K159" s="276">
        <f>(19400000)+4500000</f>
        <v>23900000</v>
      </c>
      <c r="L159" s="276"/>
      <c r="M159" s="276"/>
      <c r="N159" s="276"/>
      <c r="O159" s="288">
        <f>K159</f>
        <v>23900000</v>
      </c>
      <c r="P159" s="307">
        <f t="shared" si="131"/>
        <v>23900000</v>
      </c>
    </row>
    <row r="160" spans="1:18" ht="137.25" x14ac:dyDescent="0.2">
      <c r="A160" s="311" t="s">
        <v>466</v>
      </c>
      <c r="B160" s="311" t="s">
        <v>467</v>
      </c>
      <c r="C160" s="311" t="s">
        <v>445</v>
      </c>
      <c r="D160" s="311" t="s">
        <v>468</v>
      </c>
      <c r="E160" s="307">
        <f t="shared" si="134"/>
        <v>0</v>
      </c>
      <c r="F160" s="276"/>
      <c r="G160" s="276"/>
      <c r="H160" s="276"/>
      <c r="I160" s="276"/>
      <c r="J160" s="307">
        <f t="shared" si="126"/>
        <v>950000</v>
      </c>
      <c r="K160" s="276">
        <f>((4500000+1400000-4500000)-900000)+450000</f>
        <v>950000</v>
      </c>
      <c r="L160" s="276"/>
      <c r="M160" s="276"/>
      <c r="N160" s="276"/>
      <c r="O160" s="288">
        <f>K160</f>
        <v>950000</v>
      </c>
      <c r="P160" s="307">
        <f t="shared" si="131"/>
        <v>950000</v>
      </c>
    </row>
    <row r="161" spans="1:18" ht="91.5" x14ac:dyDescent="0.2">
      <c r="A161" s="311" t="s">
        <v>469</v>
      </c>
      <c r="B161" s="311" t="s">
        <v>470</v>
      </c>
      <c r="C161" s="311" t="s">
        <v>445</v>
      </c>
      <c r="D161" s="311" t="s">
        <v>826</v>
      </c>
      <c r="E161" s="307">
        <f>F161</f>
        <v>0</v>
      </c>
      <c r="F161" s="276"/>
      <c r="G161" s="276"/>
      <c r="H161" s="276"/>
      <c r="I161" s="276"/>
      <c r="J161" s="307">
        <f t="shared" si="126"/>
        <v>17216200</v>
      </c>
      <c r="K161" s="276">
        <f>((11500000+1666200)-2000000)+6050000</f>
        <v>17216200</v>
      </c>
      <c r="L161" s="276"/>
      <c r="M161" s="276"/>
      <c r="N161" s="276"/>
      <c r="O161" s="288">
        <f>K161</f>
        <v>17216200</v>
      </c>
      <c r="P161" s="307">
        <f t="shared" si="131"/>
        <v>17216200</v>
      </c>
    </row>
    <row r="162" spans="1:18" ht="137.25" x14ac:dyDescent="0.2">
      <c r="A162" s="311" t="s">
        <v>917</v>
      </c>
      <c r="B162" s="311" t="s">
        <v>562</v>
      </c>
      <c r="C162" s="311" t="s">
        <v>251</v>
      </c>
      <c r="D162" s="311" t="s">
        <v>393</v>
      </c>
      <c r="E162" s="307">
        <f>F162</f>
        <v>0</v>
      </c>
      <c r="F162" s="276"/>
      <c r="G162" s="276"/>
      <c r="H162" s="276"/>
      <c r="I162" s="276"/>
      <c r="J162" s="307">
        <f t="shared" si="126"/>
        <v>27200000</v>
      </c>
      <c r="K162" s="276">
        <f>(25700000)+1500000</f>
        <v>27200000</v>
      </c>
      <c r="L162" s="276"/>
      <c r="M162" s="276"/>
      <c r="N162" s="276"/>
      <c r="O162" s="288">
        <f>K162</f>
        <v>27200000</v>
      </c>
      <c r="P162" s="307">
        <f t="shared" si="131"/>
        <v>27200000</v>
      </c>
    </row>
    <row r="163" spans="1:18" ht="270" x14ac:dyDescent="0.2">
      <c r="A163" s="280" t="s">
        <v>241</v>
      </c>
      <c r="B163" s="280"/>
      <c r="C163" s="280"/>
      <c r="D163" s="281" t="s">
        <v>46</v>
      </c>
      <c r="E163" s="282">
        <f>E164</f>
        <v>4114580</v>
      </c>
      <c r="F163" s="282">
        <f t="shared" ref="F163" si="135">F164</f>
        <v>4114580</v>
      </c>
      <c r="G163" s="282">
        <f t="shared" ref="G163" si="136">G164</f>
        <v>2803780</v>
      </c>
      <c r="H163" s="282">
        <f>H164</f>
        <v>107000</v>
      </c>
      <c r="I163" s="282">
        <f t="shared" ref="I163" si="137">I164</f>
        <v>0</v>
      </c>
      <c r="J163" s="282">
        <f>J164</f>
        <v>96500</v>
      </c>
      <c r="K163" s="282">
        <f>K164</f>
        <v>96500</v>
      </c>
      <c r="L163" s="282">
        <f>L164</f>
        <v>0</v>
      </c>
      <c r="M163" s="282">
        <f t="shared" ref="M163" si="138">M164</f>
        <v>0</v>
      </c>
      <c r="N163" s="282">
        <f>N164</f>
        <v>0</v>
      </c>
      <c r="O163" s="282">
        <f>O164</f>
        <v>96500</v>
      </c>
      <c r="P163" s="282">
        <f t="shared" ref="P163" si="139">P164</f>
        <v>4211080</v>
      </c>
    </row>
    <row r="164" spans="1:18" ht="270" x14ac:dyDescent="0.2">
      <c r="A164" s="283" t="s">
        <v>242</v>
      </c>
      <c r="B164" s="283"/>
      <c r="C164" s="283"/>
      <c r="D164" s="284" t="s">
        <v>64</v>
      </c>
      <c r="E164" s="285">
        <f>SUM(E165:E167)</f>
        <v>4114580</v>
      </c>
      <c r="F164" s="285">
        <f t="shared" ref="F164:O164" si="140">SUM(F165:F167)</f>
        <v>4114580</v>
      </c>
      <c r="G164" s="285">
        <f t="shared" si="140"/>
        <v>2803780</v>
      </c>
      <c r="H164" s="285">
        <f t="shared" si="140"/>
        <v>107000</v>
      </c>
      <c r="I164" s="285">
        <f t="shared" si="140"/>
        <v>0</v>
      </c>
      <c r="J164" s="285">
        <f>L164+O164</f>
        <v>96500</v>
      </c>
      <c r="K164" s="285">
        <f t="shared" si="140"/>
        <v>96500</v>
      </c>
      <c r="L164" s="285">
        <f t="shared" si="140"/>
        <v>0</v>
      </c>
      <c r="M164" s="285">
        <f t="shared" si="140"/>
        <v>0</v>
      </c>
      <c r="N164" s="285">
        <f t="shared" si="140"/>
        <v>0</v>
      </c>
      <c r="O164" s="285">
        <f t="shared" si="140"/>
        <v>96500</v>
      </c>
      <c r="P164" s="285">
        <f>E164+J164</f>
        <v>4211080</v>
      </c>
      <c r="Q164" s="148" t="b">
        <f>P164=P167+P165+P166</f>
        <v>1</v>
      </c>
      <c r="R164" s="149" t="b">
        <f>K164='dod5'!I165</f>
        <v>1</v>
      </c>
    </row>
    <row r="165" spans="1:18" ht="228.75" x14ac:dyDescent="0.2">
      <c r="A165" s="311" t="s">
        <v>722</v>
      </c>
      <c r="B165" s="311" t="s">
        <v>336</v>
      </c>
      <c r="C165" s="311" t="s">
        <v>334</v>
      </c>
      <c r="D165" s="311" t="s">
        <v>335</v>
      </c>
      <c r="E165" s="431">
        <f>F165</f>
        <v>3915980</v>
      </c>
      <c r="F165" s="276">
        <f>((3880500)+55000)-46920+27400</f>
        <v>3915980</v>
      </c>
      <c r="G165" s="276">
        <f>(2850700)-46920</f>
        <v>2803780</v>
      </c>
      <c r="H165" s="276">
        <v>107000</v>
      </c>
      <c r="I165" s="276"/>
      <c r="J165" s="307">
        <f>L165+O165</f>
        <v>26500</v>
      </c>
      <c r="K165" s="276">
        <v>26500</v>
      </c>
      <c r="L165" s="276"/>
      <c r="M165" s="276"/>
      <c r="N165" s="276"/>
      <c r="O165" s="288">
        <f>K165</f>
        <v>26500</v>
      </c>
      <c r="P165" s="307">
        <f>E165+J165</f>
        <v>3942480</v>
      </c>
      <c r="Q165" s="148"/>
      <c r="R165" s="312" t="b">
        <f>K165='dod5'!I168</f>
        <v>1</v>
      </c>
    </row>
    <row r="166" spans="1:18" s="306" customFormat="1" ht="91.5" x14ac:dyDescent="0.2">
      <c r="A166" s="311" t="s">
        <v>961</v>
      </c>
      <c r="B166" s="311" t="s">
        <v>71</v>
      </c>
      <c r="C166" s="311" t="s">
        <v>70</v>
      </c>
      <c r="D166" s="311" t="s">
        <v>349</v>
      </c>
      <c r="E166" s="307">
        <f t="shared" ref="E166" si="141">F166</f>
        <v>198600</v>
      </c>
      <c r="F166" s="276">
        <v>198600</v>
      </c>
      <c r="G166" s="276"/>
      <c r="H166" s="276"/>
      <c r="I166" s="276"/>
      <c r="J166" s="307">
        <f t="shared" ref="J166" si="142">L166+O166</f>
        <v>0</v>
      </c>
      <c r="K166" s="276"/>
      <c r="L166" s="276"/>
      <c r="M166" s="276"/>
      <c r="N166" s="276"/>
      <c r="O166" s="288">
        <f>K166</f>
        <v>0</v>
      </c>
      <c r="P166" s="307">
        <f>E166+J166</f>
        <v>198600</v>
      </c>
      <c r="Q166" s="148"/>
      <c r="R166" s="312"/>
    </row>
    <row r="167" spans="1:18" ht="137.25" x14ac:dyDescent="0.2">
      <c r="A167" s="311" t="s">
        <v>455</v>
      </c>
      <c r="B167" s="311" t="s">
        <v>456</v>
      </c>
      <c r="C167" s="311" t="s">
        <v>445</v>
      </c>
      <c r="D167" s="311" t="s">
        <v>457</v>
      </c>
      <c r="E167" s="307">
        <f>F167</f>
        <v>0</v>
      </c>
      <c r="F167" s="276">
        <v>0</v>
      </c>
      <c r="G167" s="276"/>
      <c r="H167" s="276"/>
      <c r="I167" s="276"/>
      <c r="J167" s="307">
        <f>L167+O167</f>
        <v>70000</v>
      </c>
      <c r="K167" s="276">
        <f>((2000000)-1500000)-500000+70000</f>
        <v>70000</v>
      </c>
      <c r="L167" s="276"/>
      <c r="M167" s="276"/>
      <c r="N167" s="276"/>
      <c r="O167" s="288">
        <f>K167</f>
        <v>70000</v>
      </c>
      <c r="P167" s="307">
        <f>E167+J167</f>
        <v>70000</v>
      </c>
    </row>
    <row r="168" spans="1:18" ht="135" x14ac:dyDescent="0.2">
      <c r="A168" s="280" t="s">
        <v>247</v>
      </c>
      <c r="B168" s="280"/>
      <c r="C168" s="280"/>
      <c r="D168" s="281" t="s">
        <v>567</v>
      </c>
      <c r="E168" s="282">
        <f>E169</f>
        <v>7200430.4800000004</v>
      </c>
      <c r="F168" s="282">
        <f t="shared" ref="F168" si="143">F169</f>
        <v>7200430.4800000004</v>
      </c>
      <c r="G168" s="282">
        <f t="shared" ref="G168" si="144">G169</f>
        <v>0</v>
      </c>
      <c r="H168" s="282">
        <f>H169</f>
        <v>0</v>
      </c>
      <c r="I168" s="282">
        <f t="shared" ref="I168" si="145">I169</f>
        <v>0</v>
      </c>
      <c r="J168" s="282">
        <f>J169</f>
        <v>2354114.52</v>
      </c>
      <c r="K168" s="282">
        <f>K169</f>
        <v>2354114.52</v>
      </c>
      <c r="L168" s="282">
        <f>L169</f>
        <v>0</v>
      </c>
      <c r="M168" s="282">
        <f t="shared" ref="M168" si="146">M169</f>
        <v>0</v>
      </c>
      <c r="N168" s="282">
        <f>N169</f>
        <v>0</v>
      </c>
      <c r="O168" s="282">
        <f>O169</f>
        <v>2354114.52</v>
      </c>
      <c r="P168" s="282">
        <f t="shared" ref="P168" si="147">P169</f>
        <v>9554545</v>
      </c>
    </row>
    <row r="169" spans="1:18" ht="135" x14ac:dyDescent="0.2">
      <c r="A169" s="283" t="s">
        <v>248</v>
      </c>
      <c r="B169" s="283"/>
      <c r="C169" s="283"/>
      <c r="D169" s="284" t="s">
        <v>568</v>
      </c>
      <c r="E169" s="285">
        <f>SUM(E170:E174)</f>
        <v>7200430.4800000004</v>
      </c>
      <c r="F169" s="285">
        <f t="shared" ref="F169:K169" si="148">SUM(F170:F174)</f>
        <v>7200430.4800000004</v>
      </c>
      <c r="G169" s="285">
        <f t="shared" si="148"/>
        <v>0</v>
      </c>
      <c r="H169" s="285">
        <f t="shared" si="148"/>
        <v>0</v>
      </c>
      <c r="I169" s="285">
        <f t="shared" si="148"/>
        <v>0</v>
      </c>
      <c r="J169" s="285">
        <f t="shared" ref="J169:J174" si="149">L169+O169</f>
        <v>2354114.52</v>
      </c>
      <c r="K169" s="285">
        <f t="shared" si="148"/>
        <v>2354114.52</v>
      </c>
      <c r="L169" s="285">
        <f t="shared" ref="L169" si="150">SUM(L170:L174)</f>
        <v>0</v>
      </c>
      <c r="M169" s="285">
        <f t="shared" ref="M169" si="151">SUM(M170:M174)</f>
        <v>0</v>
      </c>
      <c r="N169" s="285">
        <f t="shared" ref="N169:O169" si="152">SUM(N170:N174)</f>
        <v>0</v>
      </c>
      <c r="O169" s="285">
        <f t="shared" si="152"/>
        <v>2354114.52</v>
      </c>
      <c r="P169" s="285">
        <f t="shared" ref="P169:P174" si="153">E169+J169</f>
        <v>9554545</v>
      </c>
      <c r="Q169" s="148" t="b">
        <f>P169=P170+P171+P172+P173+P174</f>
        <v>1</v>
      </c>
      <c r="R169" s="149" t="b">
        <f>K169='dod5'!I172</f>
        <v>1</v>
      </c>
    </row>
    <row r="170" spans="1:18" ht="137.25" hidden="1" x14ac:dyDescent="0.2">
      <c r="A170" s="272" t="s">
        <v>561</v>
      </c>
      <c r="B170" s="272" t="s">
        <v>562</v>
      </c>
      <c r="C170" s="272" t="s">
        <v>251</v>
      </c>
      <c r="D170" s="272" t="s">
        <v>393</v>
      </c>
      <c r="E170" s="273">
        <f>F170</f>
        <v>0</v>
      </c>
      <c r="F170" s="275"/>
      <c r="G170" s="275"/>
      <c r="H170" s="275"/>
      <c r="I170" s="275"/>
      <c r="J170" s="273">
        <f t="shared" si="149"/>
        <v>0</v>
      </c>
      <c r="K170" s="275">
        <f>(2000000)-2000000</f>
        <v>0</v>
      </c>
      <c r="L170" s="275"/>
      <c r="M170" s="275"/>
      <c r="N170" s="275"/>
      <c r="O170" s="274">
        <f>K170</f>
        <v>0</v>
      </c>
      <c r="P170" s="273">
        <f t="shared" si="153"/>
        <v>0</v>
      </c>
      <c r="R170" s="149"/>
    </row>
    <row r="171" spans="1:18" ht="91.5" x14ac:dyDescent="0.2">
      <c r="A171" s="420" t="s">
        <v>391</v>
      </c>
      <c r="B171" s="420" t="s">
        <v>392</v>
      </c>
      <c r="C171" s="420" t="s">
        <v>390</v>
      </c>
      <c r="D171" s="420" t="s">
        <v>389</v>
      </c>
      <c r="E171" s="419">
        <f t="shared" ref="E171:E174" si="154">F171</f>
        <v>4394349.4800000004</v>
      </c>
      <c r="F171" s="276">
        <f>(((2656650)+828350-240000+40000)-37350.52-100000)+1146700+100000</f>
        <v>4394349.4800000004</v>
      </c>
      <c r="G171" s="276"/>
      <c r="H171" s="276"/>
      <c r="I171" s="276"/>
      <c r="J171" s="419">
        <f t="shared" si="149"/>
        <v>870000</v>
      </c>
      <c r="K171" s="276">
        <f>(((570000)+200000)+100000)</f>
        <v>870000</v>
      </c>
      <c r="L171" s="276"/>
      <c r="M171" s="276"/>
      <c r="N171" s="276"/>
      <c r="O171" s="288">
        <f>K171</f>
        <v>870000</v>
      </c>
      <c r="P171" s="419">
        <f t="shared" si="153"/>
        <v>5264349.4800000004</v>
      </c>
      <c r="R171" s="149" t="b">
        <f>K171='dod5'!I174</f>
        <v>1</v>
      </c>
    </row>
    <row r="172" spans="1:18" ht="137.25" x14ac:dyDescent="0.2">
      <c r="A172" s="420" t="s">
        <v>383</v>
      </c>
      <c r="B172" s="420" t="s">
        <v>385</v>
      </c>
      <c r="C172" s="420" t="s">
        <v>313</v>
      </c>
      <c r="D172" s="420" t="s">
        <v>384</v>
      </c>
      <c r="E172" s="419">
        <f t="shared" si="154"/>
        <v>320000</v>
      </c>
      <c r="F172" s="276">
        <f>(420000)-100000</f>
        <v>320000</v>
      </c>
      <c r="G172" s="276"/>
      <c r="H172" s="276"/>
      <c r="I172" s="276"/>
      <c r="J172" s="419">
        <f t="shared" si="149"/>
        <v>0</v>
      </c>
      <c r="K172" s="276"/>
      <c r="L172" s="276"/>
      <c r="M172" s="276"/>
      <c r="N172" s="276"/>
      <c r="O172" s="288">
        <f>K172</f>
        <v>0</v>
      </c>
      <c r="P172" s="419">
        <f t="shared" si="153"/>
        <v>320000</v>
      </c>
      <c r="R172" s="149"/>
    </row>
    <row r="173" spans="1:18" ht="91.5" x14ac:dyDescent="0.2">
      <c r="A173" s="420" t="s">
        <v>387</v>
      </c>
      <c r="B173" s="420" t="s">
        <v>388</v>
      </c>
      <c r="C173" s="420" t="s">
        <v>251</v>
      </c>
      <c r="D173" s="420" t="s">
        <v>386</v>
      </c>
      <c r="E173" s="419">
        <f t="shared" si="154"/>
        <v>2486081</v>
      </c>
      <c r="F173" s="276">
        <f>(((1794000)+800000-100000)+37350.52-129155)+46885.48+37000</f>
        <v>2486081</v>
      </c>
      <c r="G173" s="276"/>
      <c r="H173" s="276"/>
      <c r="I173" s="276"/>
      <c r="J173" s="419">
        <f t="shared" si="149"/>
        <v>184114.52</v>
      </c>
      <c r="K173" s="276">
        <f>(200000+1000000-1000000)-46885.48+31000</f>
        <v>184114.52</v>
      </c>
      <c r="L173" s="276"/>
      <c r="M173" s="276"/>
      <c r="N173" s="276"/>
      <c r="O173" s="288">
        <f>K173</f>
        <v>184114.52</v>
      </c>
      <c r="P173" s="419">
        <f t="shared" si="153"/>
        <v>2670195.52</v>
      </c>
      <c r="R173" s="149" t="b">
        <f>K173='dod5'!I175</f>
        <v>1</v>
      </c>
    </row>
    <row r="174" spans="1:18" ht="91.5" x14ac:dyDescent="0.2">
      <c r="A174" s="420" t="s">
        <v>897</v>
      </c>
      <c r="B174" s="420" t="s">
        <v>591</v>
      </c>
      <c r="C174" s="420" t="s">
        <v>71</v>
      </c>
      <c r="D174" s="420" t="s">
        <v>592</v>
      </c>
      <c r="E174" s="419">
        <f t="shared" si="154"/>
        <v>0</v>
      </c>
      <c r="F174" s="276"/>
      <c r="G174" s="276"/>
      <c r="H174" s="276"/>
      <c r="I174" s="276"/>
      <c r="J174" s="419">
        <f t="shared" si="149"/>
        <v>1300000</v>
      </c>
      <c r="K174" s="276">
        <f>500000+1000000-1000000+800000</f>
        <v>1300000</v>
      </c>
      <c r="L174" s="276"/>
      <c r="M174" s="276"/>
      <c r="N174" s="276"/>
      <c r="O174" s="288">
        <f>K174</f>
        <v>1300000</v>
      </c>
      <c r="P174" s="419">
        <f t="shared" si="153"/>
        <v>1300000</v>
      </c>
      <c r="R174" s="149" t="b">
        <f>K174='dod5'!I177+'dod5'!I176</f>
        <v>1</v>
      </c>
    </row>
    <row r="175" spans="1:18" ht="180" x14ac:dyDescent="0.2">
      <c r="A175" s="280" t="s">
        <v>245</v>
      </c>
      <c r="B175" s="280"/>
      <c r="C175" s="280"/>
      <c r="D175" s="281" t="s">
        <v>47</v>
      </c>
      <c r="E175" s="282">
        <f>E176</f>
        <v>4258100</v>
      </c>
      <c r="F175" s="282">
        <f t="shared" ref="F175" si="155">F176</f>
        <v>4258100</v>
      </c>
      <c r="G175" s="282">
        <f t="shared" ref="G175" si="156">G176</f>
        <v>3166500</v>
      </c>
      <c r="H175" s="282">
        <f>H176</f>
        <v>119916</v>
      </c>
      <c r="I175" s="282">
        <f t="shared" ref="I175" si="157">I176</f>
        <v>0</v>
      </c>
      <c r="J175" s="282">
        <f>J176</f>
        <v>990905.96</v>
      </c>
      <c r="K175" s="282">
        <f>K176</f>
        <v>0</v>
      </c>
      <c r="L175" s="282">
        <f>L176</f>
        <v>408505.96</v>
      </c>
      <c r="M175" s="282">
        <f t="shared" ref="M175" si="158">M176</f>
        <v>0</v>
      </c>
      <c r="N175" s="282">
        <f>N176</f>
        <v>0</v>
      </c>
      <c r="O175" s="282">
        <f>O176</f>
        <v>582400</v>
      </c>
      <c r="P175" s="282">
        <f t="shared" ref="P175" si="159">P176</f>
        <v>5249005.96</v>
      </c>
    </row>
    <row r="176" spans="1:18" ht="180" x14ac:dyDescent="0.2">
      <c r="A176" s="283" t="s">
        <v>246</v>
      </c>
      <c r="B176" s="283"/>
      <c r="C176" s="283"/>
      <c r="D176" s="284" t="s">
        <v>65</v>
      </c>
      <c r="E176" s="285">
        <f t="shared" ref="E176:N176" si="160">SUM(E177:E180)</f>
        <v>4258100</v>
      </c>
      <c r="F176" s="285">
        <f t="shared" si="160"/>
        <v>4258100</v>
      </c>
      <c r="G176" s="285">
        <f t="shared" si="160"/>
        <v>3166500</v>
      </c>
      <c r="H176" s="285">
        <f t="shared" si="160"/>
        <v>119916</v>
      </c>
      <c r="I176" s="285">
        <f t="shared" si="160"/>
        <v>0</v>
      </c>
      <c r="J176" s="285">
        <f>L176+O176</f>
        <v>990905.96</v>
      </c>
      <c r="K176" s="285">
        <f t="shared" si="160"/>
        <v>0</v>
      </c>
      <c r="L176" s="285">
        <f t="shared" si="160"/>
        <v>408505.96</v>
      </c>
      <c r="M176" s="285">
        <f t="shared" si="160"/>
        <v>0</v>
      </c>
      <c r="N176" s="285">
        <f t="shared" si="160"/>
        <v>0</v>
      </c>
      <c r="O176" s="285">
        <f>SUM(O177:O180)</f>
        <v>582400</v>
      </c>
      <c r="P176" s="285">
        <f>E176+J176</f>
        <v>5249005.96</v>
      </c>
      <c r="Q176" s="148" t="b">
        <f>P176=P178+P180+P177+P179</f>
        <v>1</v>
      </c>
      <c r="R176" s="149" t="b">
        <f>J176='dod7'!F16</f>
        <v>1</v>
      </c>
    </row>
    <row r="177" spans="1:18" ht="228.75" x14ac:dyDescent="0.2">
      <c r="A177" s="311" t="s">
        <v>725</v>
      </c>
      <c r="B177" s="311" t="s">
        <v>336</v>
      </c>
      <c r="C177" s="311" t="s">
        <v>334</v>
      </c>
      <c r="D177" s="311" t="s">
        <v>335</v>
      </c>
      <c r="E177" s="431">
        <f>F177</f>
        <v>4258100</v>
      </c>
      <c r="F177" s="276">
        <f>(4223100)+35000</f>
        <v>4258100</v>
      </c>
      <c r="G177" s="276">
        <v>3166500</v>
      </c>
      <c r="H177" s="276">
        <v>119916</v>
      </c>
      <c r="I177" s="276"/>
      <c r="J177" s="307">
        <f>L177+O177</f>
        <v>0</v>
      </c>
      <c r="K177" s="276"/>
      <c r="L177" s="276"/>
      <c r="M177" s="276"/>
      <c r="N177" s="276"/>
      <c r="O177" s="288">
        <f>K177</f>
        <v>0</v>
      </c>
      <c r="P177" s="307">
        <f>E177+J177</f>
        <v>4258100</v>
      </c>
      <c r="Q177" s="148"/>
      <c r="R177" s="149"/>
    </row>
    <row r="178" spans="1:18" ht="137.25" x14ac:dyDescent="0.2">
      <c r="A178" s="311" t="s">
        <v>458</v>
      </c>
      <c r="B178" s="311" t="s">
        <v>459</v>
      </c>
      <c r="C178" s="311" t="s">
        <v>81</v>
      </c>
      <c r="D178" s="311" t="s">
        <v>82</v>
      </c>
      <c r="E178" s="307">
        <f t="shared" ref="E178:E179" si="161">F178</f>
        <v>0</v>
      </c>
      <c r="F178" s="276"/>
      <c r="G178" s="276"/>
      <c r="H178" s="276"/>
      <c r="I178" s="276"/>
      <c r="J178" s="307">
        <f>L178+O178</f>
        <v>834616</v>
      </c>
      <c r="K178" s="276"/>
      <c r="L178" s="276">
        <f>(116000)+90000+46216</f>
        <v>252216</v>
      </c>
      <c r="M178" s="276"/>
      <c r="N178" s="276"/>
      <c r="O178" s="288">
        <f>(K178+284000)+344616-130000+130000-46216</f>
        <v>582400</v>
      </c>
      <c r="P178" s="307">
        <f>E178+J178</f>
        <v>834616</v>
      </c>
    </row>
    <row r="179" spans="1:18" ht="91.5" x14ac:dyDescent="0.2">
      <c r="A179" s="311" t="s">
        <v>805</v>
      </c>
      <c r="B179" s="311" t="s">
        <v>806</v>
      </c>
      <c r="C179" s="311" t="s">
        <v>828</v>
      </c>
      <c r="D179" s="311" t="s">
        <v>827</v>
      </c>
      <c r="E179" s="307">
        <f t="shared" si="161"/>
        <v>0</v>
      </c>
      <c r="F179" s="276"/>
      <c r="G179" s="276"/>
      <c r="H179" s="276"/>
      <c r="I179" s="276"/>
      <c r="J179" s="307">
        <f>L179+O179</f>
        <v>56289.96</v>
      </c>
      <c r="K179" s="276"/>
      <c r="L179" s="276">
        <v>56289.96</v>
      </c>
      <c r="M179" s="276"/>
      <c r="N179" s="276"/>
      <c r="O179" s="288">
        <f>K179</f>
        <v>0</v>
      </c>
      <c r="P179" s="307">
        <f>E179+J179</f>
        <v>56289.96</v>
      </c>
    </row>
    <row r="180" spans="1:18" ht="91.5" x14ac:dyDescent="0.2">
      <c r="A180" s="311" t="s">
        <v>460</v>
      </c>
      <c r="B180" s="311" t="s">
        <v>461</v>
      </c>
      <c r="C180" s="311" t="s">
        <v>83</v>
      </c>
      <c r="D180" s="311" t="s">
        <v>462</v>
      </c>
      <c r="E180" s="307">
        <v>0</v>
      </c>
      <c r="F180" s="276"/>
      <c r="G180" s="276"/>
      <c r="H180" s="276"/>
      <c r="I180" s="276"/>
      <c r="J180" s="307">
        <f>L180+O180</f>
        <v>100000</v>
      </c>
      <c r="K180" s="307"/>
      <c r="L180" s="276">
        <v>100000</v>
      </c>
      <c r="M180" s="276"/>
      <c r="N180" s="276"/>
      <c r="O180" s="288">
        <f>K180</f>
        <v>0</v>
      </c>
      <c r="P180" s="307">
        <f>E180+J180</f>
        <v>100000</v>
      </c>
    </row>
    <row r="181" spans="1:18" ht="315" x14ac:dyDescent="0.2">
      <c r="A181" s="280" t="s">
        <v>243</v>
      </c>
      <c r="B181" s="280"/>
      <c r="C181" s="280"/>
      <c r="D181" s="281" t="s">
        <v>569</v>
      </c>
      <c r="E181" s="282">
        <f>E182</f>
        <v>3524300</v>
      </c>
      <c r="F181" s="282">
        <f t="shared" ref="F181" si="162">F182</f>
        <v>3524300</v>
      </c>
      <c r="G181" s="282">
        <f t="shared" ref="G181" si="163">G182</f>
        <v>2641000</v>
      </c>
      <c r="H181" s="282">
        <f>H182</f>
        <v>60000</v>
      </c>
      <c r="I181" s="282">
        <f t="shared" ref="I181" si="164">I182</f>
        <v>0</v>
      </c>
      <c r="J181" s="282">
        <f>J182</f>
        <v>500000</v>
      </c>
      <c r="K181" s="282">
        <f>K182</f>
        <v>500000</v>
      </c>
      <c r="L181" s="282">
        <f>L182</f>
        <v>0</v>
      </c>
      <c r="M181" s="282">
        <f t="shared" ref="M181" si="165">M182</f>
        <v>0</v>
      </c>
      <c r="N181" s="282">
        <f>N182</f>
        <v>0</v>
      </c>
      <c r="O181" s="282">
        <f>O182</f>
        <v>500000</v>
      </c>
      <c r="P181" s="282">
        <f t="shared" ref="P181" si="166">P182</f>
        <v>4024300</v>
      </c>
    </row>
    <row r="182" spans="1:18" ht="315" x14ac:dyDescent="0.2">
      <c r="A182" s="283" t="s">
        <v>244</v>
      </c>
      <c r="B182" s="283"/>
      <c r="C182" s="283"/>
      <c r="D182" s="284" t="s">
        <v>570</v>
      </c>
      <c r="E182" s="285">
        <f>SUM(E183:E185)</f>
        <v>3524300</v>
      </c>
      <c r="F182" s="285">
        <f t="shared" ref="F182:N182" si="167">SUM(F183:F185)</f>
        <v>3524300</v>
      </c>
      <c r="G182" s="285">
        <f t="shared" si="167"/>
        <v>2641000</v>
      </c>
      <c r="H182" s="285">
        <f t="shared" si="167"/>
        <v>60000</v>
      </c>
      <c r="I182" s="285">
        <f t="shared" si="167"/>
        <v>0</v>
      </c>
      <c r="J182" s="285">
        <f>L182+O182</f>
        <v>500000</v>
      </c>
      <c r="K182" s="285">
        <f t="shared" si="167"/>
        <v>500000</v>
      </c>
      <c r="L182" s="285">
        <f t="shared" si="167"/>
        <v>0</v>
      </c>
      <c r="M182" s="285">
        <f t="shared" si="167"/>
        <v>0</v>
      </c>
      <c r="N182" s="285">
        <f t="shared" si="167"/>
        <v>0</v>
      </c>
      <c r="O182" s="285">
        <f>SUM(O183:O185)</f>
        <v>500000</v>
      </c>
      <c r="P182" s="285">
        <f>E182+J182</f>
        <v>4024300</v>
      </c>
      <c r="Q182" s="148" t="b">
        <f>P182=P184+P185+P183</f>
        <v>1</v>
      </c>
      <c r="R182" s="149" t="b">
        <f>K182='dod5'!I178</f>
        <v>1</v>
      </c>
    </row>
    <row r="183" spans="1:18" ht="228.75" x14ac:dyDescent="0.2">
      <c r="A183" s="311" t="s">
        <v>721</v>
      </c>
      <c r="B183" s="311" t="s">
        <v>336</v>
      </c>
      <c r="C183" s="311" t="s">
        <v>334</v>
      </c>
      <c r="D183" s="311" t="s">
        <v>335</v>
      </c>
      <c r="E183" s="432">
        <f>F183</f>
        <v>3524300</v>
      </c>
      <c r="F183" s="276">
        <f>(3469300)+55000</f>
        <v>3524300</v>
      </c>
      <c r="G183" s="276">
        <v>2641000</v>
      </c>
      <c r="H183" s="276">
        <v>60000</v>
      </c>
      <c r="I183" s="276"/>
      <c r="J183" s="307">
        <f>L183+O183</f>
        <v>0</v>
      </c>
      <c r="K183" s="276"/>
      <c r="L183" s="276"/>
      <c r="M183" s="276"/>
      <c r="N183" s="276"/>
      <c r="O183" s="288">
        <f>K183</f>
        <v>0</v>
      </c>
      <c r="P183" s="307">
        <f>E183+J183</f>
        <v>3524300</v>
      </c>
      <c r="Q183" s="148"/>
      <c r="R183" s="149"/>
    </row>
    <row r="184" spans="1:18" ht="91.5" x14ac:dyDescent="0.2">
      <c r="A184" s="311" t="s">
        <v>452</v>
      </c>
      <c r="B184" s="311" t="s">
        <v>453</v>
      </c>
      <c r="C184" s="311" t="s">
        <v>454</v>
      </c>
      <c r="D184" s="311" t="s">
        <v>451</v>
      </c>
      <c r="E184" s="307">
        <f>F184</f>
        <v>0</v>
      </c>
      <c r="F184" s="276">
        <v>0</v>
      </c>
      <c r="G184" s="276"/>
      <c r="H184" s="276"/>
      <c r="I184" s="276"/>
      <c r="J184" s="307">
        <f>L184+O184</f>
        <v>410000</v>
      </c>
      <c r="K184" s="276">
        <v>410000</v>
      </c>
      <c r="L184" s="276"/>
      <c r="M184" s="276"/>
      <c r="N184" s="276"/>
      <c r="O184" s="288">
        <f>K184</f>
        <v>410000</v>
      </c>
      <c r="P184" s="307">
        <f>E184+J184</f>
        <v>410000</v>
      </c>
    </row>
    <row r="185" spans="1:18" ht="137.25" x14ac:dyDescent="0.2">
      <c r="A185" s="311" t="s">
        <v>600</v>
      </c>
      <c r="B185" s="311" t="s">
        <v>601</v>
      </c>
      <c r="C185" s="311" t="s">
        <v>251</v>
      </c>
      <c r="D185" s="311" t="s">
        <v>602</v>
      </c>
      <c r="E185" s="307">
        <f>F185</f>
        <v>0</v>
      </c>
      <c r="F185" s="276">
        <v>0</v>
      </c>
      <c r="G185" s="276"/>
      <c r="H185" s="276"/>
      <c r="I185" s="276"/>
      <c r="J185" s="307">
        <f>L185+O185</f>
        <v>90000</v>
      </c>
      <c r="K185" s="276">
        <v>90000</v>
      </c>
      <c r="L185" s="276"/>
      <c r="M185" s="276"/>
      <c r="N185" s="276"/>
      <c r="O185" s="288">
        <f>K185</f>
        <v>90000</v>
      </c>
      <c r="P185" s="307">
        <f>E185+J185</f>
        <v>90000</v>
      </c>
    </row>
    <row r="186" spans="1:18" ht="135" x14ac:dyDescent="0.2">
      <c r="A186" s="280" t="s">
        <v>249</v>
      </c>
      <c r="B186" s="280"/>
      <c r="C186" s="280"/>
      <c r="D186" s="281" t="s">
        <v>48</v>
      </c>
      <c r="E186" s="282">
        <f>E187</f>
        <v>63549853</v>
      </c>
      <c r="F186" s="282">
        <f t="shared" ref="F186" si="168">F187</f>
        <v>63549853</v>
      </c>
      <c r="G186" s="282">
        <f t="shared" ref="G186" si="169">G187</f>
        <v>5159100</v>
      </c>
      <c r="H186" s="282">
        <f>H187</f>
        <v>142897</v>
      </c>
      <c r="I186" s="282">
        <f t="shared" ref="I186" si="170">I187</f>
        <v>0</v>
      </c>
      <c r="J186" s="282">
        <f>J187</f>
        <v>62500</v>
      </c>
      <c r="K186" s="282">
        <f>K187</f>
        <v>62500</v>
      </c>
      <c r="L186" s="282">
        <f>L187</f>
        <v>0</v>
      </c>
      <c r="M186" s="282">
        <f t="shared" ref="M186" si="171">M187</f>
        <v>0</v>
      </c>
      <c r="N186" s="282">
        <f>N187</f>
        <v>0</v>
      </c>
      <c r="O186" s="282">
        <f>O187</f>
        <v>62500</v>
      </c>
      <c r="P186" s="282">
        <f t="shared" ref="P186" si="172">P187</f>
        <v>63612353</v>
      </c>
    </row>
    <row r="187" spans="1:18" ht="135" x14ac:dyDescent="0.2">
      <c r="A187" s="283" t="s">
        <v>250</v>
      </c>
      <c r="B187" s="283"/>
      <c r="C187" s="283"/>
      <c r="D187" s="284" t="s">
        <v>66</v>
      </c>
      <c r="E187" s="285">
        <f>SUM(E188:E191)</f>
        <v>63549853</v>
      </c>
      <c r="F187" s="285">
        <f t="shared" ref="F187:N187" si="173">SUM(F188:F191)</f>
        <v>63549853</v>
      </c>
      <c r="G187" s="285">
        <f t="shared" si="173"/>
        <v>5159100</v>
      </c>
      <c r="H187" s="285">
        <f t="shared" si="173"/>
        <v>142897</v>
      </c>
      <c r="I187" s="285">
        <f t="shared" si="173"/>
        <v>0</v>
      </c>
      <c r="J187" s="285">
        <f>L187+O187</f>
        <v>62500</v>
      </c>
      <c r="K187" s="285">
        <f>SUM(K188:K191)</f>
        <v>62500</v>
      </c>
      <c r="L187" s="285">
        <f t="shared" si="173"/>
        <v>0</v>
      </c>
      <c r="M187" s="285">
        <f t="shared" si="173"/>
        <v>0</v>
      </c>
      <c r="N187" s="285">
        <f t="shared" si="173"/>
        <v>0</v>
      </c>
      <c r="O187" s="285">
        <f>SUM(O188:O191)</f>
        <v>62500</v>
      </c>
      <c r="P187" s="285">
        <f>E187+J187</f>
        <v>63612353</v>
      </c>
      <c r="Q187" s="148" t="b">
        <f>P187=P189+P190+P191+P188</f>
        <v>1</v>
      </c>
      <c r="R187" s="149" t="b">
        <f>K187='dod5'!I186</f>
        <v>1</v>
      </c>
    </row>
    <row r="188" spans="1:18" ht="228.75" x14ac:dyDescent="0.2">
      <c r="A188" s="421" t="s">
        <v>723</v>
      </c>
      <c r="B188" s="421" t="s">
        <v>336</v>
      </c>
      <c r="C188" s="421" t="s">
        <v>334</v>
      </c>
      <c r="D188" s="421" t="s">
        <v>335</v>
      </c>
      <c r="E188" s="431">
        <f>F188</f>
        <v>6853335</v>
      </c>
      <c r="F188" s="276">
        <f>((6887800)+40000)-95000+20000+535</f>
        <v>6853335</v>
      </c>
      <c r="G188" s="276">
        <f>(5254100)-95000</f>
        <v>5159100</v>
      </c>
      <c r="H188" s="276">
        <f>(142362)+535</f>
        <v>142897</v>
      </c>
      <c r="I188" s="276"/>
      <c r="J188" s="422">
        <f>L188+O188</f>
        <v>62500</v>
      </c>
      <c r="K188" s="276">
        <f>(50000)+12500</f>
        <v>62500</v>
      </c>
      <c r="L188" s="276"/>
      <c r="M188" s="276"/>
      <c r="N188" s="276"/>
      <c r="O188" s="288">
        <f>K188</f>
        <v>62500</v>
      </c>
      <c r="P188" s="422">
        <f>E188+J188</f>
        <v>6915835</v>
      </c>
      <c r="Q188" s="148"/>
      <c r="R188" s="149"/>
    </row>
    <row r="189" spans="1:18" ht="91.5" x14ac:dyDescent="0.2">
      <c r="A189" s="269">
        <v>3718600</v>
      </c>
      <c r="B189" s="269">
        <v>8600</v>
      </c>
      <c r="C189" s="421" t="s">
        <v>579</v>
      </c>
      <c r="D189" s="269" t="s">
        <v>580</v>
      </c>
      <c r="E189" s="422">
        <f>F189</f>
        <v>1282700</v>
      </c>
      <c r="F189" s="276">
        <v>1282700</v>
      </c>
      <c r="G189" s="276"/>
      <c r="H189" s="276"/>
      <c r="I189" s="276"/>
      <c r="J189" s="422">
        <f>L189+O189</f>
        <v>0</v>
      </c>
      <c r="K189" s="276"/>
      <c r="L189" s="276"/>
      <c r="M189" s="276"/>
      <c r="N189" s="276"/>
      <c r="O189" s="288">
        <f>K189</f>
        <v>0</v>
      </c>
      <c r="P189" s="422">
        <f>E189+J189</f>
        <v>1282700</v>
      </c>
    </row>
    <row r="190" spans="1:18" ht="69" customHeight="1" x14ac:dyDescent="0.2">
      <c r="A190" s="269">
        <v>3718700</v>
      </c>
      <c r="B190" s="269">
        <v>8700</v>
      </c>
      <c r="C190" s="421" t="s">
        <v>70</v>
      </c>
      <c r="D190" s="291" t="s">
        <v>68</v>
      </c>
      <c r="E190" s="422">
        <f>F190</f>
        <v>1027818</v>
      </c>
      <c r="F190" s="276">
        <f>(((5000000-655000)-3000000+1000000-800000-576000)-300000)+500000-134495-6687+500000-500000</f>
        <v>1027818</v>
      </c>
      <c r="G190" s="276"/>
      <c r="H190" s="276"/>
      <c r="I190" s="276"/>
      <c r="J190" s="422">
        <f>L190+O190</f>
        <v>0</v>
      </c>
      <c r="K190" s="276"/>
      <c r="L190" s="276"/>
      <c r="M190" s="276"/>
      <c r="N190" s="276"/>
      <c r="O190" s="288">
        <f>K190</f>
        <v>0</v>
      </c>
      <c r="P190" s="422">
        <f>E190+J190</f>
        <v>1027818</v>
      </c>
    </row>
    <row r="191" spans="1:18" ht="65.25" customHeight="1" x14ac:dyDescent="0.2">
      <c r="A191" s="269">
        <v>3719110</v>
      </c>
      <c r="B191" s="269">
        <v>9110</v>
      </c>
      <c r="C191" s="421" t="s">
        <v>71</v>
      </c>
      <c r="D191" s="291" t="s">
        <v>69</v>
      </c>
      <c r="E191" s="422">
        <f>F191</f>
        <v>54386000</v>
      </c>
      <c r="F191" s="276">
        <v>54386000</v>
      </c>
      <c r="G191" s="276"/>
      <c r="H191" s="276"/>
      <c r="I191" s="276"/>
      <c r="J191" s="422">
        <f>L191+O191</f>
        <v>0</v>
      </c>
      <c r="K191" s="276"/>
      <c r="L191" s="276"/>
      <c r="M191" s="276"/>
      <c r="N191" s="276"/>
      <c r="O191" s="288">
        <f>K191</f>
        <v>0</v>
      </c>
      <c r="P191" s="422">
        <f>E191+J191</f>
        <v>54386000</v>
      </c>
    </row>
    <row r="192" spans="1:18" ht="81.75" customHeight="1" x14ac:dyDescent="0.55000000000000004">
      <c r="A192" s="182" t="s">
        <v>640</v>
      </c>
      <c r="B192" s="182" t="s">
        <v>640</v>
      </c>
      <c r="C192" s="182" t="s">
        <v>640</v>
      </c>
      <c r="D192" s="183" t="s">
        <v>656</v>
      </c>
      <c r="E192" s="138">
        <f>E14+E26+E117+E39+E53+E107+E133+E155+E164+E187+E169+E176+E182</f>
        <v>2666288961.2600002</v>
      </c>
      <c r="F192" s="138">
        <f>F14+F26+F117+F39+F52+F107+F133+F155+F164+F187+F169+F176+F182</f>
        <v>2666288961.2600002</v>
      </c>
      <c r="G192" s="138">
        <f t="shared" ref="G192:O192" si="174">G14+G26+G117+G39+G53+G107+G133+G155+G164+G187+G169+G176+G182</f>
        <v>866701198.39999998</v>
      </c>
      <c r="H192" s="138">
        <f t="shared" si="174"/>
        <v>97684634</v>
      </c>
      <c r="I192" s="138">
        <f t="shared" si="174"/>
        <v>0</v>
      </c>
      <c r="J192" s="138">
        <f t="shared" si="174"/>
        <v>593483768.5</v>
      </c>
      <c r="K192" s="138">
        <f t="shared" si="174"/>
        <v>466633944.34999996</v>
      </c>
      <c r="L192" s="138">
        <f t="shared" si="174"/>
        <v>124252836.53</v>
      </c>
      <c r="M192" s="138">
        <f t="shared" si="174"/>
        <v>34317186</v>
      </c>
      <c r="N192" s="138">
        <f t="shared" si="174"/>
        <v>9171331.4000000004</v>
      </c>
      <c r="O192" s="138">
        <f t="shared" si="174"/>
        <v>469230931.96999997</v>
      </c>
      <c r="P192" s="138">
        <f>P14+P26+P117+P39+P52+P107+P133+P155+P164+P187+P169+P176+P182</f>
        <v>3259772729.7600002</v>
      </c>
      <c r="Q192" s="14" t="b">
        <f>K192='dod5'!I189</f>
        <v>1</v>
      </c>
    </row>
    <row r="193" spans="1:18" ht="45.75" x14ac:dyDescent="0.2">
      <c r="A193" s="455" t="s">
        <v>449</v>
      </c>
      <c r="B193" s="456"/>
      <c r="C193" s="456"/>
      <c r="D193" s="456"/>
      <c r="E193" s="456"/>
      <c r="F193" s="456"/>
      <c r="G193" s="456"/>
      <c r="H193" s="456"/>
      <c r="I193" s="456"/>
      <c r="J193" s="456"/>
      <c r="K193" s="456"/>
      <c r="L193" s="456"/>
      <c r="M193" s="456"/>
      <c r="N193" s="456"/>
      <c r="O193" s="456"/>
      <c r="P193" s="456"/>
      <c r="Q193" s="12"/>
    </row>
    <row r="194" spans="1:18" ht="45.75" hidden="1" x14ac:dyDescent="0.2">
      <c r="A194" s="117"/>
      <c r="B194" s="118"/>
      <c r="C194" s="118"/>
      <c r="D194" s="118"/>
      <c r="E194" s="204">
        <f>F194</f>
        <v>2666288961.2600002</v>
      </c>
      <c r="F194" s="204">
        <f>(2631757939.44)+34531021.82</f>
        <v>2666288961.2600002</v>
      </c>
      <c r="G194" s="204">
        <f>(849422587+143550+5928000+86028.4+389900+20400+13948+160000+82000+748360)+2684206+118715+13503+404015+595400+42034+99919+2501008+114502+13005+730163+33768+2785+406580+315300+16430+7160000-5032600+20500+509100-1557388-158800-490000-95628+50000+54454+16100+23200+97250+7000+31848+95000-46920-95000+1065000+16430-54454</f>
        <v>866701198.39999998</v>
      </c>
      <c r="H194" s="204">
        <f>((96770291+4000+2000+5000+427000+69535+5000)+5658+784-146243+500)-307000+994000+300-66600+1600+25300+4000-43760+535+40000-58266-49000</f>
        <v>97684634</v>
      </c>
      <c r="I194" s="204">
        <v>0</v>
      </c>
      <c r="J194" s="204">
        <f>(577379528.31)+16104240.19</f>
        <v>593483768.5</v>
      </c>
      <c r="K194" s="204">
        <f>(452277870.83)+16104240.19+1458.33-100000-1649625</f>
        <v>466633944.34999996</v>
      </c>
      <c r="L194" s="204">
        <f>(122309181)+100000+20000-75721.47+1649625+188635+61117</f>
        <v>124252836.53</v>
      </c>
      <c r="M194" s="204">
        <f>(33043505-34100)+935200+197651+139930+35000</f>
        <v>34317186</v>
      </c>
      <c r="N194" s="204">
        <f>((8774975)+96747.72)+36000+69000+13000+180300+1308.68</f>
        <v>9171331.4000000004</v>
      </c>
      <c r="O194" s="204">
        <f>(455070347.31)+16104240.19-100000-20000+75721.47-188635-1649625-61117</f>
        <v>469230931.97000003</v>
      </c>
      <c r="P194" s="204">
        <f>E194+J194</f>
        <v>3259772729.7600002</v>
      </c>
      <c r="Q194" s="12"/>
      <c r="R194" s="12"/>
    </row>
    <row r="195" spans="1:18" ht="45.75" x14ac:dyDescent="0.2">
      <c r="A195" s="117"/>
      <c r="B195" s="118"/>
      <c r="C195" s="118"/>
      <c r="D195" s="118"/>
      <c r="E195" s="118"/>
      <c r="F195" s="118"/>
      <c r="G195" s="118"/>
      <c r="H195" s="118"/>
      <c r="I195" s="118"/>
      <c r="J195" s="118"/>
      <c r="K195" s="118"/>
      <c r="L195" s="118"/>
      <c r="M195" s="118"/>
      <c r="N195" s="118"/>
      <c r="O195" s="118"/>
      <c r="P195" s="118"/>
      <c r="Q195" s="12"/>
    </row>
    <row r="196" spans="1:18" ht="45.75" x14ac:dyDescent="0.65">
      <c r="A196" s="7"/>
      <c r="B196" s="7"/>
      <c r="C196" s="7"/>
      <c r="D196" s="454" t="s">
        <v>983</v>
      </c>
      <c r="E196" s="454"/>
      <c r="F196" s="454"/>
      <c r="G196" s="454"/>
      <c r="H196" s="454"/>
      <c r="I196" s="454"/>
      <c r="J196" s="454"/>
      <c r="K196" s="454"/>
      <c r="L196" s="454"/>
      <c r="M196" s="454"/>
      <c r="N196" s="454"/>
      <c r="O196" s="454"/>
      <c r="P196" s="454"/>
      <c r="Q196" s="13"/>
    </row>
    <row r="197" spans="1:18" ht="45.75" x14ac:dyDescent="0.2">
      <c r="E197" s="24"/>
      <c r="F197" s="3"/>
      <c r="J197" s="201"/>
      <c r="K197" s="201"/>
      <c r="O197" s="129"/>
      <c r="P197" s="19"/>
    </row>
    <row r="198" spans="1:18" ht="45.75" x14ac:dyDescent="0.65">
      <c r="D198" s="454"/>
      <c r="E198" s="454"/>
      <c r="F198" s="454"/>
      <c r="G198" s="454"/>
      <c r="H198" s="454"/>
      <c r="I198" s="454"/>
      <c r="J198" s="454"/>
      <c r="K198" s="454"/>
      <c r="L198" s="454"/>
      <c r="M198" s="454"/>
      <c r="N198" s="454"/>
      <c r="O198" s="454"/>
      <c r="P198" s="454"/>
      <c r="Q198" s="14"/>
    </row>
    <row r="199" spans="1:18" x14ac:dyDescent="0.2">
      <c r="E199" s="4"/>
      <c r="F199" s="3"/>
      <c r="J199" s="4"/>
      <c r="K199" s="4"/>
    </row>
    <row r="200" spans="1:18" x14ac:dyDescent="0.2">
      <c r="E200" s="4"/>
      <c r="F200" s="3"/>
      <c r="J200" s="4"/>
      <c r="K200" s="4"/>
    </row>
    <row r="201" spans="1:18" ht="60.75" x14ac:dyDescent="0.2">
      <c r="E201" s="115" t="b">
        <f>E194=E192</f>
        <v>1</v>
      </c>
      <c r="F201" s="115" t="b">
        <f>F194=F192</f>
        <v>1</v>
      </c>
      <c r="G201" s="115" t="b">
        <f>G194=G192</f>
        <v>1</v>
      </c>
      <c r="H201" s="115" t="b">
        <f t="shared" ref="H201:O201" si="175">H194=H192</f>
        <v>1</v>
      </c>
      <c r="I201" s="115" t="b">
        <f>I194=I192</f>
        <v>1</v>
      </c>
      <c r="J201" s="115" t="b">
        <f>J194=J192</f>
        <v>1</v>
      </c>
      <c r="K201" s="115" t="b">
        <f>K194=K192</f>
        <v>1</v>
      </c>
      <c r="L201" s="115" t="b">
        <f t="shared" si="175"/>
        <v>1</v>
      </c>
      <c r="M201" s="115" t="b">
        <f t="shared" si="175"/>
        <v>1</v>
      </c>
      <c r="N201" s="115" t="b">
        <f t="shared" si="175"/>
        <v>1</v>
      </c>
      <c r="O201" s="115" t="b">
        <f t="shared" si="175"/>
        <v>1</v>
      </c>
      <c r="P201" s="115" t="b">
        <f>P194=P192</f>
        <v>1</v>
      </c>
    </row>
    <row r="202" spans="1:18" ht="60.75" x14ac:dyDescent="0.55000000000000004">
      <c r="E202" s="19"/>
      <c r="F202" s="248">
        <f>F190/E192*100</f>
        <v>3.8548635010448647E-2</v>
      </c>
      <c r="G202" s="129" t="s">
        <v>488</v>
      </c>
      <c r="I202" s="112"/>
      <c r="J202" s="115" t="b">
        <f>J194=L194+O194</f>
        <v>1</v>
      </c>
      <c r="K202" s="202"/>
      <c r="L202" s="115">
        <f>L192-L194</f>
        <v>0</v>
      </c>
      <c r="M202" s="112"/>
      <c r="N202" s="112"/>
      <c r="O202" s="115">
        <f>O192-O194</f>
        <v>0</v>
      </c>
      <c r="P202" s="14" t="b">
        <f>E192+J192=P192</f>
        <v>1</v>
      </c>
    </row>
    <row r="203" spans="1:18" x14ac:dyDescent="0.2">
      <c r="E203" s="6"/>
      <c r="F203" s="178"/>
      <c r="G203" s="6"/>
      <c r="H203" s="6"/>
      <c r="I203" s="6"/>
      <c r="J203" s="4"/>
      <c r="K203" s="4"/>
    </row>
    <row r="204" spans="1:18" ht="45.75" x14ac:dyDescent="0.2">
      <c r="A204"/>
      <c r="B204"/>
      <c r="C204"/>
      <c r="D204" s="10"/>
      <c r="E204" s="147" t="b">
        <f>E192=F192</f>
        <v>1</v>
      </c>
      <c r="F204" s="129">
        <f>F190/P192*100</f>
        <v>3.1530357641701999E-2</v>
      </c>
      <c r="G204" s="129" t="s">
        <v>488</v>
      </c>
      <c r="I204" s="10"/>
      <c r="J204" s="147"/>
      <c r="K204" s="147">
        <f>K192-K194</f>
        <v>0</v>
      </c>
      <c r="L204"/>
      <c r="M204"/>
      <c r="N204"/>
      <c r="O204"/>
      <c r="P204"/>
    </row>
    <row r="205" spans="1:18" ht="60.75" x14ac:dyDescent="0.2">
      <c r="D205" s="10"/>
      <c r="E205" s="147"/>
      <c r="F205" s="247">
        <f>F194-F192</f>
        <v>0</v>
      </c>
      <c r="G205" s="23"/>
      <c r="I205" s="10"/>
      <c r="J205" s="147"/>
      <c r="K205" s="147"/>
      <c r="P205" s="115"/>
      <c r="Q205" s="116"/>
      <c r="R205" s="115"/>
    </row>
    <row r="206" spans="1:18" ht="60.75" x14ac:dyDescent="0.2">
      <c r="A206"/>
      <c r="B206"/>
      <c r="C206"/>
      <c r="D206" s="10"/>
      <c r="E206" s="147"/>
      <c r="F206" s="129"/>
      <c r="G206" s="3"/>
      <c r="I206" s="10"/>
      <c r="J206" s="147"/>
      <c r="K206" s="147"/>
      <c r="L206"/>
      <c r="M206"/>
      <c r="N206"/>
      <c r="O206" s="115">
        <v>1458.33</v>
      </c>
      <c r="P206" s="115"/>
      <c r="Q206" s="116"/>
      <c r="R206" s="115"/>
    </row>
    <row r="207" spans="1:18" ht="60.75" x14ac:dyDescent="0.2">
      <c r="D207" s="10"/>
      <c r="E207" s="147"/>
      <c r="F207" s="179"/>
      <c r="O207" s="115"/>
      <c r="P207" s="115"/>
    </row>
    <row r="208" spans="1:18" ht="60.75" x14ac:dyDescent="0.2">
      <c r="A208"/>
      <c r="B208"/>
      <c r="C208"/>
      <c r="D208" s="10"/>
      <c r="E208" s="147"/>
      <c r="F208" s="129"/>
      <c r="G208" s="3"/>
      <c r="J208" s="4"/>
      <c r="K208" s="4"/>
      <c r="L208"/>
      <c r="M208"/>
      <c r="N208"/>
      <c r="O208"/>
      <c r="P208" s="115"/>
    </row>
    <row r="209" spans="1:16" ht="62.25" x14ac:dyDescent="0.8">
      <c r="A209"/>
      <c r="B209"/>
      <c r="C209"/>
      <c r="D209"/>
      <c r="E209" s="21"/>
      <c r="F209" s="129"/>
      <c r="J209" s="4"/>
      <c r="K209" s="4"/>
      <c r="L209"/>
      <c r="M209"/>
      <c r="N209"/>
      <c r="O209"/>
      <c r="P209" s="153"/>
    </row>
    <row r="210" spans="1:16" ht="45.75" x14ac:dyDescent="0.2">
      <c r="E210" s="22"/>
      <c r="F210" s="179"/>
    </row>
    <row r="211" spans="1:16" ht="45.75" x14ac:dyDescent="0.2">
      <c r="A211"/>
      <c r="B211"/>
      <c r="C211"/>
      <c r="D211"/>
      <c r="E211" s="21"/>
      <c r="F211" s="129"/>
      <c r="L211"/>
      <c r="M211"/>
      <c r="N211"/>
      <c r="O211"/>
      <c r="P211"/>
    </row>
    <row r="212" spans="1:16" ht="45.75" x14ac:dyDescent="0.2">
      <c r="E212" s="22"/>
      <c r="F212" s="179"/>
    </row>
    <row r="213" spans="1:16" ht="45.75" x14ac:dyDescent="0.2">
      <c r="E213" s="22"/>
      <c r="F213" s="179"/>
    </row>
    <row r="214" spans="1:16" ht="45.75" x14ac:dyDescent="0.2">
      <c r="E214" s="22"/>
      <c r="F214" s="179"/>
    </row>
    <row r="215" spans="1:16" ht="45.75" x14ac:dyDescent="0.2">
      <c r="A215"/>
      <c r="B215"/>
      <c r="C215"/>
      <c r="D215"/>
      <c r="E215" s="22"/>
      <c r="F215" s="179"/>
      <c r="G215"/>
      <c r="H215"/>
      <c r="I215"/>
      <c r="J215"/>
      <c r="K215"/>
      <c r="L215"/>
      <c r="M215"/>
      <c r="N215"/>
      <c r="O215"/>
      <c r="P215"/>
    </row>
    <row r="216" spans="1:16" ht="45.75" x14ac:dyDescent="0.2">
      <c r="A216"/>
      <c r="B216"/>
      <c r="C216"/>
      <c r="D216"/>
      <c r="E216" s="22"/>
      <c r="F216" s="179"/>
      <c r="G216"/>
      <c r="H216"/>
      <c r="I216"/>
      <c r="J216"/>
      <c r="K216"/>
      <c r="L216"/>
      <c r="M216"/>
      <c r="N216"/>
      <c r="O216"/>
      <c r="P216"/>
    </row>
    <row r="217" spans="1:16" ht="45.75" x14ac:dyDescent="0.2">
      <c r="A217"/>
      <c r="B217"/>
      <c r="C217"/>
      <c r="D217"/>
      <c r="E217" s="22"/>
      <c r="F217" s="179"/>
      <c r="G217"/>
      <c r="H217"/>
      <c r="I217"/>
      <c r="J217"/>
      <c r="K217"/>
      <c r="L217"/>
      <c r="M217"/>
      <c r="N217"/>
      <c r="O217"/>
      <c r="P217"/>
    </row>
    <row r="218" spans="1:16" ht="45.75" x14ac:dyDescent="0.2">
      <c r="A218"/>
      <c r="B218"/>
      <c r="C218"/>
      <c r="D218"/>
      <c r="E218" s="22"/>
      <c r="F218" s="179"/>
      <c r="G218"/>
      <c r="H218"/>
      <c r="I218"/>
      <c r="J218"/>
      <c r="K218"/>
      <c r="L218"/>
      <c r="M218"/>
      <c r="N218"/>
      <c r="O218"/>
      <c r="P218"/>
    </row>
  </sheetData>
  <mergeCells count="131">
    <mergeCell ref="N2:Q2"/>
    <mergeCell ref="N3:Q3"/>
    <mergeCell ref="O4:P4"/>
    <mergeCell ref="P9:P11"/>
    <mergeCell ref="A6:P6"/>
    <mergeCell ref="E10:E11"/>
    <mergeCell ref="A19:A20"/>
    <mergeCell ref="A9:A11"/>
    <mergeCell ref="A7:P7"/>
    <mergeCell ref="M10:N10"/>
    <mergeCell ref="B9:B11"/>
    <mergeCell ref="C9:C11"/>
    <mergeCell ref="E9:I9"/>
    <mergeCell ref="G10:H10"/>
    <mergeCell ref="F10:F11"/>
    <mergeCell ref="D9:D11"/>
    <mergeCell ref="K19:K20"/>
    <mergeCell ref="K10:K11"/>
    <mergeCell ref="J10:J11"/>
    <mergeCell ref="O10:O11"/>
    <mergeCell ref="I10:I11"/>
    <mergeCell ref="J9:O9"/>
    <mergeCell ref="L10:L11"/>
    <mergeCell ref="E19:E20"/>
    <mergeCell ref="P96:P98"/>
    <mergeCell ref="I104:I105"/>
    <mergeCell ref="J104:J105"/>
    <mergeCell ref="M96:M98"/>
    <mergeCell ref="N96:N98"/>
    <mergeCell ref="L96:L98"/>
    <mergeCell ref="O96:O98"/>
    <mergeCell ref="K90:K92"/>
    <mergeCell ref="L90:L92"/>
    <mergeCell ref="M90:M92"/>
    <mergeCell ref="M93:M95"/>
    <mergeCell ref="J19:J20"/>
    <mergeCell ref="L151:L152"/>
    <mergeCell ref="M151:M152"/>
    <mergeCell ref="I96:I98"/>
    <mergeCell ref="L104:L105"/>
    <mergeCell ref="N151:N152"/>
    <mergeCell ref="J151:J152"/>
    <mergeCell ref="K151:K152"/>
    <mergeCell ref="K78:K79"/>
    <mergeCell ref="J96:J98"/>
    <mergeCell ref="K96:K98"/>
    <mergeCell ref="J90:J92"/>
    <mergeCell ref="I78:I79"/>
    <mergeCell ref="J78:J79"/>
    <mergeCell ref="I19:I20"/>
    <mergeCell ref="N90:N92"/>
    <mergeCell ref="P19:P20"/>
    <mergeCell ref="M19:M20"/>
    <mergeCell ref="N19:N20"/>
    <mergeCell ref="O78:O79"/>
    <mergeCell ref="P78:P79"/>
    <mergeCell ref="L78:L79"/>
    <mergeCell ref="O19:O20"/>
    <mergeCell ref="N78:N79"/>
    <mergeCell ref="M78:M79"/>
    <mergeCell ref="L19:L20"/>
    <mergeCell ref="R90:R92"/>
    <mergeCell ref="R93:R95"/>
    <mergeCell ref="H93:H95"/>
    <mergeCell ref="I93:I95"/>
    <mergeCell ref="J93:J95"/>
    <mergeCell ref="K93:K95"/>
    <mergeCell ref="L93:L95"/>
    <mergeCell ref="O90:O92"/>
    <mergeCell ref="P90:P92"/>
    <mergeCell ref="N93:N95"/>
    <mergeCell ref="O93:O95"/>
    <mergeCell ref="P93:P95"/>
    <mergeCell ref="E96:E98"/>
    <mergeCell ref="F96:F98"/>
    <mergeCell ref="G96:G98"/>
    <mergeCell ref="H96:H98"/>
    <mergeCell ref="H104:H105"/>
    <mergeCell ref="A93:A95"/>
    <mergeCell ref="E78:E79"/>
    <mergeCell ref="F78:F79"/>
    <mergeCell ref="G78:G79"/>
    <mergeCell ref="H78:H79"/>
    <mergeCell ref="B93:B95"/>
    <mergeCell ref="C93:C95"/>
    <mergeCell ref="C104:C105"/>
    <mergeCell ref="A104:A105"/>
    <mergeCell ref="B90:B92"/>
    <mergeCell ref="C90:C92"/>
    <mergeCell ref="A78:A79"/>
    <mergeCell ref="A90:A92"/>
    <mergeCell ref="A96:A98"/>
    <mergeCell ref="B96:B98"/>
    <mergeCell ref="C96:C98"/>
    <mergeCell ref="B104:B105"/>
    <mergeCell ref="B19:B20"/>
    <mergeCell ref="C19:C20"/>
    <mergeCell ref="E93:E95"/>
    <mergeCell ref="F93:F95"/>
    <mergeCell ref="E90:E92"/>
    <mergeCell ref="F90:F92"/>
    <mergeCell ref="G90:G92"/>
    <mergeCell ref="H90:H92"/>
    <mergeCell ref="I90:I92"/>
    <mergeCell ref="B78:B79"/>
    <mergeCell ref="C78:C79"/>
    <mergeCell ref="G93:G95"/>
    <mergeCell ref="O151:O152"/>
    <mergeCell ref="F19:F20"/>
    <mergeCell ref="G19:G20"/>
    <mergeCell ref="H19:H20"/>
    <mergeCell ref="D198:P198"/>
    <mergeCell ref="D196:P196"/>
    <mergeCell ref="A193:P193"/>
    <mergeCell ref="E104:E105"/>
    <mergeCell ref="F104:F105"/>
    <mergeCell ref="M104:M105"/>
    <mergeCell ref="N104:N105"/>
    <mergeCell ref="P104:P105"/>
    <mergeCell ref="G104:G105"/>
    <mergeCell ref="O104:O105"/>
    <mergeCell ref="P151:P152"/>
    <mergeCell ref="A151:A152"/>
    <mergeCell ref="B151:B152"/>
    <mergeCell ref="C151:C152"/>
    <mergeCell ref="E151:E152"/>
    <mergeCell ref="F151:F152"/>
    <mergeCell ref="K104:K105"/>
    <mergeCell ref="G151:G152"/>
    <mergeCell ref="H151:H152"/>
    <mergeCell ref="I151:I152"/>
  </mergeCells>
  <phoneticPr fontId="0" type="noConversion"/>
  <conditionalFormatting sqref="Q164:R166">
    <cfRule type="iconSet" priority="8">
      <iconSet iconSet="3Arrows">
        <cfvo type="percent" val="0"/>
        <cfvo type="percent" val="33"/>
        <cfvo type="percent" val="67"/>
      </iconSet>
    </cfRule>
  </conditionalFormatting>
  <conditionalFormatting sqref="Q176:R177">
    <cfRule type="iconSet" priority="6">
      <iconSet iconSet="3Arrows">
        <cfvo type="percent" val="0"/>
        <cfvo type="percent" val="33"/>
        <cfvo type="percent" val="67"/>
      </iconSet>
    </cfRule>
  </conditionalFormatting>
  <conditionalFormatting sqref="Q188:R188 Q187">
    <cfRule type="iconSet" priority="4">
      <iconSet iconSet="3Arrows">
        <cfvo type="percent" val="0"/>
        <cfvo type="percent" val="33"/>
        <cfvo type="percent" val="67"/>
      </iconSet>
    </cfRule>
  </conditionalFormatting>
  <conditionalFormatting sqref="Q182:R183">
    <cfRule type="iconSet" priority="3">
      <iconSet iconSet="3Arrows">
        <cfvo type="percent" val="0"/>
        <cfvo type="percent" val="33"/>
        <cfvo type="percent" val="67"/>
      </iconSet>
    </cfRule>
  </conditionalFormatting>
  <conditionalFormatting sqref="R187">
    <cfRule type="iconSet" priority="2">
      <iconSet iconSet="3Arrows">
        <cfvo type="percent" val="0"/>
        <cfvo type="percent" val="33"/>
        <cfvo type="percent" val="67"/>
      </iconSet>
    </cfRule>
  </conditionalFormatting>
  <conditionalFormatting sqref="Q169:R169">
    <cfRule type="iconSet" priority="9">
      <iconSet iconSet="3Arrows">
        <cfvo type="percent" val="0"/>
        <cfvo type="percent" val="33"/>
        <cfvo type="percent" val="67"/>
      </iconSet>
    </cfRule>
  </conditionalFormatting>
  <conditionalFormatting sqref="R170:R174">
    <cfRule type="iconSet" priority="1">
      <iconSet iconSet="3Arrows">
        <cfvo type="percent" val="0"/>
        <cfvo type="percent" val="33"/>
        <cfvo type="percent" val="67"/>
      </iconSet>
    </cfRule>
  </conditionalFormatting>
  <pageMargins left="0.23622047244094491" right="0.27559055118110237" top="0.27559055118110237" bottom="0.15748031496062992" header="0.23622047244094491" footer="0.27559055118110237"/>
  <pageSetup paperSize="9" scale="15" fitToHeight="0" orientation="landscape" r:id="rId1"/>
  <headerFooter alignWithMargins="0">
    <oddFooter>&amp;C&amp;"Times New Roman Cyr,курсив"Сторінка &amp;P з &amp;N</oddFooter>
  </headerFooter>
  <rowBreaks count="3" manualBreakCount="3">
    <brk id="28" max="15" man="1"/>
    <brk id="49" max="15" man="1"/>
    <brk id="70"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
  <dimension ref="A2:Q158"/>
  <sheetViews>
    <sheetView showGridLines="0" showZeros="0" view="pageBreakPreview" topLeftCell="B3" zoomScale="85" zoomScaleNormal="85" zoomScaleSheetLayoutView="85" workbookViewId="0">
      <selection activeCell="D17" sqref="D17:P17"/>
    </sheetView>
  </sheetViews>
  <sheetFormatPr defaultColWidth="7.85546875" defaultRowHeight="12.75" x14ac:dyDescent="0.2"/>
  <cols>
    <col min="1" max="1" width="0" style="16" hidden="1" customWidth="1"/>
    <col min="2" max="2" width="13" style="86" customWidth="1"/>
    <col min="3" max="3" width="12.42578125" style="86" customWidth="1"/>
    <col min="4" max="4" width="15.28515625" style="86" customWidth="1"/>
    <col min="5" max="5" width="37" style="86" customWidth="1"/>
    <col min="6" max="6" width="10.5703125" style="86" customWidth="1"/>
    <col min="7" max="7" width="11.85546875" style="86" customWidth="1"/>
    <col min="8" max="8" width="13.28515625" style="86" customWidth="1"/>
    <col min="9" max="9" width="12.5703125" style="86" customWidth="1"/>
    <col min="10" max="10" width="12.140625" style="86" customWidth="1"/>
    <col min="11" max="11" width="18.140625" style="86" customWidth="1"/>
    <col min="12" max="12" width="13.5703125" style="86" customWidth="1"/>
    <col min="13" max="13" width="13" style="86" customWidth="1"/>
    <col min="14" max="14" width="11.42578125" style="86" customWidth="1"/>
    <col min="15" max="15" width="12.7109375" style="86" customWidth="1"/>
    <col min="16" max="16" width="12.5703125" style="86" customWidth="1"/>
    <col min="17" max="17" width="12.7109375" style="86" customWidth="1"/>
    <col min="18" max="16384" width="7.85546875" style="86"/>
  </cols>
  <sheetData>
    <row r="2" spans="1:17" ht="64.5" customHeight="1" x14ac:dyDescent="0.2">
      <c r="B2" s="16"/>
      <c r="C2" s="16"/>
      <c r="D2" s="16"/>
      <c r="M2" s="500" t="s">
        <v>907</v>
      </c>
      <c r="N2" s="500"/>
      <c r="O2" s="500"/>
      <c r="P2" s="500"/>
      <c r="Q2" s="500"/>
    </row>
    <row r="3" spans="1:17" ht="32.450000000000003" customHeight="1" x14ac:dyDescent="0.2">
      <c r="B3" s="16"/>
      <c r="C3" s="16"/>
      <c r="D3" s="16"/>
      <c r="E3" s="501" t="s">
        <v>650</v>
      </c>
      <c r="F3" s="501"/>
      <c r="G3" s="501"/>
      <c r="H3" s="501"/>
      <c r="I3" s="501"/>
      <c r="J3" s="501"/>
      <c r="K3" s="501"/>
      <c r="L3" s="501"/>
      <c r="M3" s="501"/>
      <c r="N3" s="88"/>
      <c r="O3" s="88"/>
      <c r="P3" s="88"/>
      <c r="Q3" s="88"/>
    </row>
    <row r="4" spans="1:17" ht="12" customHeight="1" x14ac:dyDescent="0.3">
      <c r="B4" s="89"/>
      <c r="C4" s="89"/>
      <c r="D4" s="90"/>
      <c r="E4" s="501"/>
      <c r="F4" s="501"/>
      <c r="G4" s="501"/>
      <c r="H4" s="501"/>
      <c r="I4" s="501"/>
      <c r="J4" s="501"/>
      <c r="K4" s="501"/>
      <c r="L4" s="501"/>
      <c r="M4" s="501"/>
      <c r="N4" s="16"/>
      <c r="O4" s="16"/>
      <c r="P4" s="16"/>
      <c r="Q4" s="91"/>
    </row>
    <row r="5" spans="1:17" ht="21" customHeight="1" x14ac:dyDescent="0.3">
      <c r="B5" s="89"/>
      <c r="C5" s="89"/>
      <c r="D5" s="90"/>
      <c r="E5" s="87"/>
      <c r="F5" s="87"/>
      <c r="G5" s="87"/>
      <c r="H5" s="87"/>
      <c r="I5" s="87"/>
      <c r="J5" s="87"/>
      <c r="K5" s="87"/>
      <c r="L5" s="87"/>
      <c r="M5" s="87"/>
      <c r="N5" s="16"/>
      <c r="O5" s="16"/>
      <c r="P5" s="16"/>
      <c r="Q5" s="180" t="s">
        <v>647</v>
      </c>
    </row>
    <row r="6" spans="1:17" ht="30.75" customHeight="1" x14ac:dyDescent="0.2">
      <c r="A6" s="92"/>
      <c r="B6" s="492" t="s">
        <v>29</v>
      </c>
      <c r="C6" s="493" t="s">
        <v>648</v>
      </c>
      <c r="D6" s="493" t="s">
        <v>655</v>
      </c>
      <c r="E6" s="493" t="s">
        <v>649</v>
      </c>
      <c r="F6" s="496" t="s">
        <v>185</v>
      </c>
      <c r="G6" s="496"/>
      <c r="H6" s="496"/>
      <c r="I6" s="496"/>
      <c r="J6" s="496" t="s">
        <v>186</v>
      </c>
      <c r="K6" s="496"/>
      <c r="L6" s="496"/>
      <c r="M6" s="496"/>
      <c r="N6" s="496" t="s">
        <v>654</v>
      </c>
      <c r="O6" s="496"/>
      <c r="P6" s="496"/>
      <c r="Q6" s="496"/>
    </row>
    <row r="7" spans="1:17" ht="28.5" customHeight="1" x14ac:dyDescent="0.2">
      <c r="A7" s="93"/>
      <c r="B7" s="492"/>
      <c r="C7" s="494"/>
      <c r="D7" s="494"/>
      <c r="E7" s="495"/>
      <c r="F7" s="497" t="s">
        <v>651</v>
      </c>
      <c r="G7" s="497" t="s">
        <v>652</v>
      </c>
      <c r="H7" s="498"/>
      <c r="I7" s="497" t="s">
        <v>653</v>
      </c>
      <c r="J7" s="497" t="s">
        <v>651</v>
      </c>
      <c r="K7" s="497" t="s">
        <v>652</v>
      </c>
      <c r="L7" s="498"/>
      <c r="M7" s="497" t="s">
        <v>653</v>
      </c>
      <c r="N7" s="497" t="s">
        <v>651</v>
      </c>
      <c r="O7" s="497" t="s">
        <v>652</v>
      </c>
      <c r="P7" s="498"/>
      <c r="Q7" s="497" t="s">
        <v>653</v>
      </c>
    </row>
    <row r="8" spans="1:17" ht="50.25" customHeight="1" x14ac:dyDescent="0.2">
      <c r="A8" s="86"/>
      <c r="B8" s="492"/>
      <c r="C8" s="494"/>
      <c r="D8" s="494"/>
      <c r="E8" s="494"/>
      <c r="F8" s="497"/>
      <c r="G8" s="185" t="s">
        <v>643</v>
      </c>
      <c r="H8" s="185" t="s">
        <v>644</v>
      </c>
      <c r="I8" s="497"/>
      <c r="J8" s="497"/>
      <c r="K8" s="185" t="s">
        <v>643</v>
      </c>
      <c r="L8" s="185" t="s">
        <v>644</v>
      </c>
      <c r="M8" s="497"/>
      <c r="N8" s="497"/>
      <c r="O8" s="185" t="s">
        <v>643</v>
      </c>
      <c r="P8" s="185" t="s">
        <v>644</v>
      </c>
      <c r="Q8" s="497"/>
    </row>
    <row r="9" spans="1:17" ht="15" customHeight="1" x14ac:dyDescent="0.2">
      <c r="A9" s="86"/>
      <c r="B9" s="17">
        <v>1</v>
      </c>
      <c r="C9" s="186">
        <v>2</v>
      </c>
      <c r="D9" s="17">
        <v>3</v>
      </c>
      <c r="E9" s="186">
        <v>4</v>
      </c>
      <c r="F9" s="17">
        <v>5</v>
      </c>
      <c r="G9" s="186">
        <v>6</v>
      </c>
      <c r="H9" s="17">
        <v>7</v>
      </c>
      <c r="I9" s="186">
        <v>8</v>
      </c>
      <c r="J9" s="17">
        <v>9</v>
      </c>
      <c r="K9" s="186">
        <v>10</v>
      </c>
      <c r="L9" s="17">
        <v>11</v>
      </c>
      <c r="M9" s="186">
        <v>12</v>
      </c>
      <c r="N9" s="17">
        <v>13</v>
      </c>
      <c r="O9" s="186">
        <v>14</v>
      </c>
      <c r="P9" s="17">
        <v>15</v>
      </c>
      <c r="Q9" s="186">
        <v>16</v>
      </c>
    </row>
    <row r="10" spans="1:17" s="95" customFormat="1" ht="45" x14ac:dyDescent="0.2">
      <c r="A10" s="94"/>
      <c r="B10" s="198" t="s">
        <v>40</v>
      </c>
      <c r="C10" s="198"/>
      <c r="D10" s="198"/>
      <c r="E10" s="199" t="s">
        <v>41</v>
      </c>
      <c r="F10" s="200">
        <f>F11</f>
        <v>260000</v>
      </c>
      <c r="G10" s="200">
        <f t="shared" ref="G10:Q10" si="0">G11</f>
        <v>90000</v>
      </c>
      <c r="H10" s="200">
        <f t="shared" si="0"/>
        <v>0</v>
      </c>
      <c r="I10" s="200">
        <f t="shared" si="0"/>
        <v>350000</v>
      </c>
      <c r="J10" s="200">
        <f t="shared" si="0"/>
        <v>0</v>
      </c>
      <c r="K10" s="200">
        <f t="shared" si="0"/>
        <v>-90000</v>
      </c>
      <c r="L10" s="200">
        <f t="shared" si="0"/>
        <v>0</v>
      </c>
      <c r="M10" s="200">
        <f t="shared" si="0"/>
        <v>-90000</v>
      </c>
      <c r="N10" s="200">
        <f t="shared" si="0"/>
        <v>260000</v>
      </c>
      <c r="O10" s="200">
        <f t="shared" si="0"/>
        <v>0</v>
      </c>
      <c r="P10" s="200">
        <f t="shared" si="0"/>
        <v>0</v>
      </c>
      <c r="Q10" s="200">
        <f t="shared" si="0"/>
        <v>260000</v>
      </c>
    </row>
    <row r="11" spans="1:17" ht="42.75" x14ac:dyDescent="0.2">
      <c r="B11" s="195" t="s">
        <v>39</v>
      </c>
      <c r="C11" s="195"/>
      <c r="D11" s="195"/>
      <c r="E11" s="196" t="s">
        <v>58</v>
      </c>
      <c r="F11" s="197">
        <f>F12</f>
        <v>260000</v>
      </c>
      <c r="G11" s="197">
        <f t="shared" ref="G11:I11" si="1">G12</f>
        <v>90000</v>
      </c>
      <c r="H11" s="197">
        <f t="shared" si="1"/>
        <v>0</v>
      </c>
      <c r="I11" s="197">
        <f t="shared" si="1"/>
        <v>350000</v>
      </c>
      <c r="J11" s="197">
        <f>J13</f>
        <v>0</v>
      </c>
      <c r="K11" s="197">
        <f t="shared" ref="K11:M11" si="2">K13</f>
        <v>-90000</v>
      </c>
      <c r="L11" s="197">
        <f t="shared" si="2"/>
        <v>0</v>
      </c>
      <c r="M11" s="197">
        <f t="shared" si="2"/>
        <v>-90000</v>
      </c>
      <c r="N11" s="197">
        <f>F11+J11</f>
        <v>260000</v>
      </c>
      <c r="O11" s="197">
        <f t="shared" ref="O11:Q11" si="3">G11+K11</f>
        <v>0</v>
      </c>
      <c r="P11" s="197">
        <f t="shared" si="3"/>
        <v>0</v>
      </c>
      <c r="Q11" s="197">
        <f t="shared" si="3"/>
        <v>260000</v>
      </c>
    </row>
    <row r="12" spans="1:17" ht="60" x14ac:dyDescent="0.2">
      <c r="B12" s="192" t="s">
        <v>587</v>
      </c>
      <c r="C12" s="192" t="s">
        <v>589</v>
      </c>
      <c r="D12" s="192" t="s">
        <v>79</v>
      </c>
      <c r="E12" s="193" t="s">
        <v>790</v>
      </c>
      <c r="F12" s="194">
        <v>260000</v>
      </c>
      <c r="G12" s="194">
        <v>90000</v>
      </c>
      <c r="H12" s="194">
        <v>0</v>
      </c>
      <c r="I12" s="194">
        <f>F12+G12</f>
        <v>350000</v>
      </c>
      <c r="J12" s="194">
        <v>0</v>
      </c>
      <c r="K12" s="194">
        <v>0</v>
      </c>
      <c r="L12" s="194"/>
      <c r="M12" s="194">
        <f>J12+K12</f>
        <v>0</v>
      </c>
      <c r="N12" s="194">
        <f>F12+J12</f>
        <v>260000</v>
      </c>
      <c r="O12" s="194">
        <f>G12+K12</f>
        <v>90000</v>
      </c>
      <c r="P12" s="194" t="s">
        <v>187</v>
      </c>
      <c r="Q12" s="194">
        <f>I12+M12</f>
        <v>350000</v>
      </c>
    </row>
    <row r="13" spans="1:17" ht="60" x14ac:dyDescent="0.2">
      <c r="B13" s="192" t="s">
        <v>588</v>
      </c>
      <c r="C13" s="192" t="s">
        <v>590</v>
      </c>
      <c r="D13" s="192" t="s">
        <v>79</v>
      </c>
      <c r="E13" s="193" t="s">
        <v>791</v>
      </c>
      <c r="F13" s="194"/>
      <c r="G13" s="194">
        <f>H13+I13</f>
        <v>0</v>
      </c>
      <c r="H13" s="194"/>
      <c r="I13" s="194"/>
      <c r="J13" s="194"/>
      <c r="K13" s="194">
        <v>-90000</v>
      </c>
      <c r="L13" s="194"/>
      <c r="M13" s="194">
        <f>J13+K13</f>
        <v>-90000</v>
      </c>
      <c r="N13" s="194">
        <f>F13+J13</f>
        <v>0</v>
      </c>
      <c r="O13" s="194">
        <f>G13+K13</f>
        <v>-90000</v>
      </c>
      <c r="P13" s="194" t="s">
        <v>187</v>
      </c>
      <c r="Q13" s="194">
        <f>I13+M13</f>
        <v>-90000</v>
      </c>
    </row>
    <row r="14" spans="1:17" ht="27.75" customHeight="1" x14ac:dyDescent="0.2">
      <c r="B14" s="139" t="s">
        <v>640</v>
      </c>
      <c r="C14" s="139" t="s">
        <v>640</v>
      </c>
      <c r="D14" s="184" t="s">
        <v>640</v>
      </c>
      <c r="E14" s="181" t="s">
        <v>656</v>
      </c>
      <c r="F14" s="140">
        <f>F10</f>
        <v>260000</v>
      </c>
      <c r="G14" s="140">
        <f>H14+I14</f>
        <v>350000</v>
      </c>
      <c r="H14" s="140">
        <f t="shared" ref="H14:I14" si="4">H10</f>
        <v>0</v>
      </c>
      <c r="I14" s="140">
        <f t="shared" si="4"/>
        <v>350000</v>
      </c>
      <c r="J14" s="140">
        <f>J10</f>
        <v>0</v>
      </c>
      <c r="K14" s="140">
        <f>K10</f>
        <v>-90000</v>
      </c>
      <c r="L14" s="140">
        <f>L10</f>
        <v>0</v>
      </c>
      <c r="M14" s="140">
        <f t="shared" ref="M14:Q14" si="5">M10</f>
        <v>-90000</v>
      </c>
      <c r="N14" s="140">
        <f t="shared" si="5"/>
        <v>260000</v>
      </c>
      <c r="O14" s="140">
        <f t="shared" si="5"/>
        <v>0</v>
      </c>
      <c r="P14" s="140">
        <f t="shared" si="5"/>
        <v>0</v>
      </c>
      <c r="Q14" s="140">
        <f t="shared" si="5"/>
        <v>260000</v>
      </c>
    </row>
    <row r="15" spans="1:17" ht="27.75" customHeight="1" x14ac:dyDescent="0.25">
      <c r="B15" s="160"/>
      <c r="C15" s="160"/>
      <c r="D15" s="499" t="s">
        <v>984</v>
      </c>
      <c r="E15" s="499"/>
      <c r="F15" s="499"/>
      <c r="G15" s="499"/>
      <c r="H15" s="499"/>
      <c r="I15" s="499"/>
      <c r="J15" s="499"/>
      <c r="K15" s="499"/>
      <c r="L15" s="499"/>
      <c r="M15" s="499"/>
      <c r="N15" s="499"/>
      <c r="O15" s="499"/>
      <c r="P15" s="499"/>
      <c r="Q15" s="161"/>
    </row>
    <row r="16" spans="1:17" ht="15.75" customHeight="1" x14ac:dyDescent="0.25">
      <c r="B16" s="160"/>
      <c r="C16" s="160"/>
      <c r="D16" s="499"/>
      <c r="E16" s="499"/>
      <c r="F16" s="499"/>
      <c r="G16" s="499"/>
      <c r="H16" s="499"/>
      <c r="I16" s="499"/>
      <c r="J16" s="499"/>
      <c r="K16" s="499"/>
      <c r="L16" s="499"/>
      <c r="M16" s="499"/>
      <c r="N16" s="499"/>
      <c r="O16" s="499"/>
      <c r="P16" s="499"/>
      <c r="Q16" s="161"/>
    </row>
    <row r="17" spans="4:16" ht="15" x14ac:dyDescent="0.25">
      <c r="D17" s="499"/>
      <c r="E17" s="499"/>
      <c r="F17" s="499"/>
      <c r="G17" s="499"/>
      <c r="H17" s="499"/>
      <c r="I17" s="499"/>
      <c r="J17" s="499"/>
      <c r="K17" s="499"/>
      <c r="L17" s="499"/>
      <c r="M17" s="499"/>
      <c r="N17" s="499"/>
      <c r="O17" s="499"/>
      <c r="P17" s="499"/>
    </row>
    <row r="18" spans="4:16" ht="15" x14ac:dyDescent="0.25">
      <c r="D18" s="499"/>
      <c r="E18" s="499"/>
      <c r="F18" s="499"/>
      <c r="G18" s="499"/>
      <c r="H18" s="499"/>
      <c r="I18" s="499"/>
      <c r="J18" s="499"/>
      <c r="K18" s="499"/>
      <c r="L18" s="499"/>
      <c r="M18" s="499"/>
      <c r="N18" s="499"/>
      <c r="O18" s="499"/>
      <c r="P18" s="499"/>
    </row>
    <row r="19" spans="4:16" ht="15" x14ac:dyDescent="0.2">
      <c r="D19" s="162"/>
      <c r="E19" s="163"/>
      <c r="F19" s="164"/>
      <c r="G19" s="162">
        <f>H19+I19</f>
        <v>0</v>
      </c>
      <c r="H19" s="162"/>
      <c r="I19" s="165"/>
      <c r="J19" s="163"/>
      <c r="K19" s="165"/>
      <c r="L19" s="162"/>
      <c r="M19" s="162"/>
      <c r="N19" s="165"/>
      <c r="O19" s="166"/>
      <c r="P19" s="167"/>
    </row>
    <row r="20" spans="4:16" ht="15" x14ac:dyDescent="0.25">
      <c r="D20" s="168"/>
      <c r="E20" s="168"/>
      <c r="F20" s="168"/>
      <c r="G20" s="168">
        <f>H20+I20</f>
        <v>0</v>
      </c>
      <c r="H20" s="168"/>
      <c r="I20" s="168"/>
      <c r="J20" s="168"/>
      <c r="K20" s="168"/>
      <c r="L20" s="168"/>
      <c r="M20" s="168"/>
      <c r="N20" s="168"/>
      <c r="O20" s="168"/>
      <c r="P20" s="168"/>
    </row>
    <row r="21" spans="4:16" x14ac:dyDescent="0.2">
      <c r="G21" s="86">
        <f>H21+I21</f>
        <v>0</v>
      </c>
    </row>
    <row r="22" spans="4:16" x14ac:dyDescent="0.2">
      <c r="G22" s="86">
        <f>H22+I22</f>
        <v>0</v>
      </c>
    </row>
    <row r="23" spans="4:16" x14ac:dyDescent="0.2">
      <c r="G23" s="86">
        <f>H23+I23</f>
        <v>0</v>
      </c>
    </row>
    <row r="45" spans="7:7" x14ac:dyDescent="0.2">
      <c r="G45" s="86">
        <f>H45+I45</f>
        <v>0</v>
      </c>
    </row>
    <row r="47" spans="7:7" x14ac:dyDescent="0.2">
      <c r="G47" s="86">
        <f t="shared" ref="G47:G65" si="6">H47+I47</f>
        <v>0</v>
      </c>
    </row>
    <row r="48" spans="7:7" x14ac:dyDescent="0.2">
      <c r="G48" s="86">
        <f t="shared" si="6"/>
        <v>0</v>
      </c>
    </row>
    <row r="49" spans="7:7" x14ac:dyDescent="0.2">
      <c r="G49" s="86">
        <f t="shared" si="6"/>
        <v>0</v>
      </c>
    </row>
    <row r="50" spans="7:7" x14ac:dyDescent="0.2">
      <c r="G50" s="86">
        <f t="shared" si="6"/>
        <v>0</v>
      </c>
    </row>
    <row r="51" spans="7:7" x14ac:dyDescent="0.2">
      <c r="G51" s="86">
        <f t="shared" si="6"/>
        <v>0</v>
      </c>
    </row>
    <row r="52" spans="7:7" x14ac:dyDescent="0.2">
      <c r="G52" s="86">
        <f t="shared" si="6"/>
        <v>0</v>
      </c>
    </row>
    <row r="53" spans="7:7" x14ac:dyDescent="0.2">
      <c r="G53" s="86">
        <f t="shared" si="6"/>
        <v>0</v>
      </c>
    </row>
    <row r="54" spans="7:7" x14ac:dyDescent="0.2">
      <c r="G54" s="86">
        <f t="shared" si="6"/>
        <v>0</v>
      </c>
    </row>
    <row r="55" spans="7:7" x14ac:dyDescent="0.2">
      <c r="G55" s="86">
        <f t="shared" si="6"/>
        <v>0</v>
      </c>
    </row>
    <row r="56" spans="7:7" x14ac:dyDescent="0.2">
      <c r="G56" s="86">
        <f t="shared" si="6"/>
        <v>0</v>
      </c>
    </row>
    <row r="57" spans="7:7" x14ac:dyDescent="0.2">
      <c r="G57" s="86">
        <f t="shared" si="6"/>
        <v>0</v>
      </c>
    </row>
    <row r="58" spans="7:7" x14ac:dyDescent="0.2">
      <c r="G58" s="86">
        <f t="shared" si="6"/>
        <v>0</v>
      </c>
    </row>
    <row r="59" spans="7:7" x14ac:dyDescent="0.2">
      <c r="G59" s="86">
        <f t="shared" si="6"/>
        <v>0</v>
      </c>
    </row>
    <row r="60" spans="7:7" x14ac:dyDescent="0.2">
      <c r="G60" s="86">
        <f t="shared" si="6"/>
        <v>0</v>
      </c>
    </row>
    <row r="61" spans="7:7" x14ac:dyDescent="0.2">
      <c r="G61" s="86">
        <f t="shared" si="6"/>
        <v>0</v>
      </c>
    </row>
    <row r="62" spans="7:7" x14ac:dyDescent="0.2">
      <c r="G62" s="86">
        <f t="shared" si="6"/>
        <v>0</v>
      </c>
    </row>
    <row r="63" spans="7:7" x14ac:dyDescent="0.2">
      <c r="G63" s="86">
        <f t="shared" si="6"/>
        <v>0</v>
      </c>
    </row>
    <row r="64" spans="7:7" x14ac:dyDescent="0.2">
      <c r="G64" s="86">
        <f t="shared" si="6"/>
        <v>0</v>
      </c>
    </row>
    <row r="65" spans="7:7" x14ac:dyDescent="0.2">
      <c r="G65" s="86">
        <f t="shared" si="6"/>
        <v>0</v>
      </c>
    </row>
    <row r="67" spans="7:7" x14ac:dyDescent="0.2">
      <c r="G67" s="86">
        <f>H67+I67</f>
        <v>0</v>
      </c>
    </row>
    <row r="68" spans="7:7" x14ac:dyDescent="0.2">
      <c r="G68" s="86">
        <f>H68+I68</f>
        <v>0</v>
      </c>
    </row>
    <row r="69" spans="7:7" x14ac:dyDescent="0.2">
      <c r="G69" s="86">
        <f>H69+I69</f>
        <v>0</v>
      </c>
    </row>
    <row r="70" spans="7:7" x14ac:dyDescent="0.2">
      <c r="G70" s="86">
        <f>H70+I70</f>
        <v>0</v>
      </c>
    </row>
    <row r="72" spans="7:7" x14ac:dyDescent="0.2">
      <c r="G72" s="86">
        <f>H72+I72</f>
        <v>0</v>
      </c>
    </row>
    <row r="75" spans="7:7" x14ac:dyDescent="0.2">
      <c r="G75" s="491"/>
    </row>
    <row r="76" spans="7:7" x14ac:dyDescent="0.2">
      <c r="G76" s="438"/>
    </row>
    <row r="112" spans="7:7" x14ac:dyDescent="0.2">
      <c r="G112" s="86">
        <f>H112+I112</f>
        <v>0</v>
      </c>
    </row>
    <row r="114" spans="7:7" x14ac:dyDescent="0.2">
      <c r="G114" s="86">
        <f t="shared" ref="G114:G124" si="7">H114+I114</f>
        <v>0</v>
      </c>
    </row>
    <row r="115" spans="7:7" x14ac:dyDescent="0.2">
      <c r="G115" s="86">
        <f t="shared" si="7"/>
        <v>0</v>
      </c>
    </row>
    <row r="116" spans="7:7" x14ac:dyDescent="0.2">
      <c r="G116" s="86">
        <f t="shared" si="7"/>
        <v>0</v>
      </c>
    </row>
    <row r="117" spans="7:7" x14ac:dyDescent="0.2">
      <c r="G117" s="86">
        <f t="shared" si="7"/>
        <v>0</v>
      </c>
    </row>
    <row r="118" spans="7:7" x14ac:dyDescent="0.2">
      <c r="G118" s="86">
        <f t="shared" si="7"/>
        <v>0</v>
      </c>
    </row>
    <row r="119" spans="7:7" x14ac:dyDescent="0.2">
      <c r="G119" s="86">
        <f t="shared" si="7"/>
        <v>0</v>
      </c>
    </row>
    <row r="120" spans="7:7" x14ac:dyDescent="0.2">
      <c r="G120" s="86">
        <f t="shared" si="7"/>
        <v>0</v>
      </c>
    </row>
    <row r="121" spans="7:7" x14ac:dyDescent="0.2">
      <c r="G121" s="86">
        <f t="shared" si="7"/>
        <v>0</v>
      </c>
    </row>
    <row r="122" spans="7:7" x14ac:dyDescent="0.2">
      <c r="G122" s="86">
        <f t="shared" si="7"/>
        <v>0</v>
      </c>
    </row>
    <row r="123" spans="7:7" x14ac:dyDescent="0.2">
      <c r="G123" s="86">
        <f t="shared" si="7"/>
        <v>0</v>
      </c>
    </row>
    <row r="124" spans="7:7" x14ac:dyDescent="0.2">
      <c r="G124" s="86">
        <f t="shared" si="7"/>
        <v>0</v>
      </c>
    </row>
    <row r="126" spans="7:7" x14ac:dyDescent="0.2">
      <c r="G126" s="86">
        <f>H127+I127</f>
        <v>0</v>
      </c>
    </row>
    <row r="127" spans="7:7" x14ac:dyDescent="0.2">
      <c r="G127" s="86">
        <f t="shared" ref="G127" si="8">H127+I127</f>
        <v>0</v>
      </c>
    </row>
    <row r="128" spans="7:7" x14ac:dyDescent="0.2">
      <c r="G128" s="86">
        <f>H128+I128</f>
        <v>0</v>
      </c>
    </row>
    <row r="129" spans="7:10" x14ac:dyDescent="0.2">
      <c r="G129" s="86">
        <f>H129+I129</f>
        <v>0</v>
      </c>
    </row>
    <row r="130" spans="7:10" x14ac:dyDescent="0.2">
      <c r="G130" s="86">
        <f>H130+I130</f>
        <v>0</v>
      </c>
    </row>
    <row r="131" spans="7:10" x14ac:dyDescent="0.2">
      <c r="G131" s="86">
        <f>H131+I131</f>
        <v>0</v>
      </c>
    </row>
    <row r="136" spans="7:10" ht="46.5" x14ac:dyDescent="0.65">
      <c r="J136" s="219"/>
    </row>
    <row r="139" spans="7:10" ht="46.5" x14ac:dyDescent="0.65">
      <c r="G139" s="219">
        <f>H139+I139</f>
        <v>0</v>
      </c>
      <c r="J139" s="219"/>
    </row>
    <row r="158" spans="11:11" ht="90" x14ac:dyDescent="1.1499999999999999">
      <c r="K158" s="216" t="b">
        <f>G158=H158+I158</f>
        <v>1</v>
      </c>
    </row>
  </sheetData>
  <mergeCells count="23">
    <mergeCell ref="O7:P7"/>
    <mergeCell ref="D18:P18"/>
    <mergeCell ref="D15:P15"/>
    <mergeCell ref="D17:P17"/>
    <mergeCell ref="M2:Q2"/>
    <mergeCell ref="E3:M4"/>
    <mergeCell ref="J6:M6"/>
    <mergeCell ref="N6:Q6"/>
    <mergeCell ref="Q7:Q8"/>
    <mergeCell ref="M7:M8"/>
    <mergeCell ref="N7:N8"/>
    <mergeCell ref="J7:J8"/>
    <mergeCell ref="D16:P16"/>
    <mergeCell ref="G7:H7"/>
    <mergeCell ref="K7:L7"/>
    <mergeCell ref="G75:G76"/>
    <mergeCell ref="B6:B8"/>
    <mergeCell ref="C6:C8"/>
    <mergeCell ref="D6:D8"/>
    <mergeCell ref="E6:E8"/>
    <mergeCell ref="F6:I6"/>
    <mergeCell ref="F7:F8"/>
    <mergeCell ref="I7:I8"/>
  </mergeCells>
  <printOptions horizontalCentered="1"/>
  <pageMargins left="0.19685039370078741" right="0" top="0.59055118110236227" bottom="0.39370078740157483" header="0.31496062992125984" footer="0.31496062992125984"/>
  <pageSetup paperSize="9" scale="55" fitToHeight="0" orientation="landscape" r:id="rId1"/>
  <headerFooter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
    <pageSetUpPr fitToPage="1"/>
  </sheetPr>
  <dimension ref="A1:Q233"/>
  <sheetViews>
    <sheetView view="pageBreakPreview" topLeftCell="B1" zoomScale="85" zoomScaleNormal="40" zoomScaleSheetLayoutView="85" workbookViewId="0">
      <pane ySplit="5" topLeftCell="A95" activePane="bottomLeft" state="frozen"/>
      <selection activeCell="K153" sqref="K153"/>
      <selection pane="bottomLeft" activeCell="F98" sqref="F98"/>
    </sheetView>
  </sheetViews>
  <sheetFormatPr defaultColWidth="7.85546875" defaultRowHeight="12.75" x14ac:dyDescent="0.2"/>
  <cols>
    <col min="1" max="1" width="3.28515625" style="16" hidden="1" customWidth="1"/>
    <col min="2" max="2" width="14.28515625" style="135" customWidth="1"/>
    <col min="3" max="3" width="14" style="135" customWidth="1"/>
    <col min="4" max="4" width="16.85546875" style="135" customWidth="1"/>
    <col min="5" max="5" width="41.5703125" style="135" customWidth="1"/>
    <col min="6" max="6" width="38.5703125" style="135" customWidth="1"/>
    <col min="7" max="10" width="18.140625" style="135" customWidth="1"/>
    <col min="11" max="11" width="52.5703125" style="16" customWidth="1"/>
    <col min="12" max="12" width="16.5703125" style="16" customWidth="1"/>
    <col min="13" max="13" width="13.7109375" style="16" customWidth="1"/>
    <col min="14" max="14" width="12.7109375" style="16" customWidth="1"/>
    <col min="15" max="16384" width="7.85546875" style="16"/>
  </cols>
  <sheetData>
    <row r="1" spans="1:10" s="15" customFormat="1" ht="22.7" customHeight="1" x14ac:dyDescent="0.25">
      <c r="B1" s="505"/>
      <c r="C1" s="505"/>
      <c r="D1" s="505"/>
      <c r="E1" s="505"/>
      <c r="F1" s="505"/>
      <c r="G1" s="505"/>
      <c r="H1" s="505"/>
      <c r="I1" s="505"/>
      <c r="J1" s="505"/>
    </row>
    <row r="2" spans="1:10" ht="41.25" customHeight="1" x14ac:dyDescent="0.2">
      <c r="G2" s="500" t="s">
        <v>900</v>
      </c>
      <c r="H2" s="500"/>
      <c r="I2" s="500"/>
      <c r="J2" s="500"/>
    </row>
    <row r="3" spans="1:10" ht="34.5" customHeight="1" x14ac:dyDescent="0.2">
      <c r="B3" s="506" t="s">
        <v>657</v>
      </c>
      <c r="C3" s="501"/>
      <c r="D3" s="501"/>
      <c r="E3" s="501"/>
      <c r="F3" s="501"/>
      <c r="G3" s="501"/>
      <c r="H3" s="501"/>
      <c r="I3" s="501"/>
      <c r="J3" s="501"/>
    </row>
    <row r="4" spans="1:10" ht="173.25" customHeight="1" x14ac:dyDescent="0.2">
      <c r="B4" s="187" t="s">
        <v>29</v>
      </c>
      <c r="C4" s="187" t="s">
        <v>648</v>
      </c>
      <c r="D4" s="187" t="s">
        <v>655</v>
      </c>
      <c r="E4" s="187" t="s">
        <v>649</v>
      </c>
      <c r="F4" s="18" t="s">
        <v>670</v>
      </c>
      <c r="G4" s="18" t="s">
        <v>671</v>
      </c>
      <c r="H4" s="18" t="s">
        <v>672</v>
      </c>
      <c r="I4" s="18" t="s">
        <v>673</v>
      </c>
      <c r="J4" s="18" t="s">
        <v>674</v>
      </c>
    </row>
    <row r="5" spans="1:10" ht="20.25" customHeight="1" x14ac:dyDescent="0.2">
      <c r="B5" s="187">
        <v>1</v>
      </c>
      <c r="C5" s="187">
        <v>2</v>
      </c>
      <c r="D5" s="187">
        <v>3</v>
      </c>
      <c r="E5" s="187">
        <v>4</v>
      </c>
      <c r="F5" s="187">
        <v>5</v>
      </c>
      <c r="G5" s="187">
        <v>6</v>
      </c>
      <c r="H5" s="187">
        <v>7</v>
      </c>
      <c r="I5" s="187">
        <v>8</v>
      </c>
      <c r="J5" s="187">
        <v>9</v>
      </c>
    </row>
    <row r="6" spans="1:10" ht="39.75" customHeight="1" x14ac:dyDescent="0.2">
      <c r="B6" s="319" t="s">
        <v>229</v>
      </c>
      <c r="C6" s="319"/>
      <c r="D6" s="319"/>
      <c r="E6" s="321" t="s">
        <v>231</v>
      </c>
      <c r="F6" s="319"/>
      <c r="G6" s="319"/>
      <c r="H6" s="319"/>
      <c r="I6" s="319">
        <f>I7</f>
        <v>9172679</v>
      </c>
      <c r="J6" s="319"/>
    </row>
    <row r="7" spans="1:10" ht="47.25" customHeight="1" x14ac:dyDescent="0.2">
      <c r="B7" s="320" t="s">
        <v>230</v>
      </c>
      <c r="C7" s="320"/>
      <c r="D7" s="320"/>
      <c r="E7" s="320" t="s">
        <v>232</v>
      </c>
      <c r="F7" s="320"/>
      <c r="G7" s="320"/>
      <c r="H7" s="320"/>
      <c r="I7" s="320">
        <f>SUM(I8:I14)</f>
        <v>9172679</v>
      </c>
      <c r="J7" s="320"/>
    </row>
    <row r="8" spans="1:10" ht="93.75" customHeight="1" x14ac:dyDescent="0.2">
      <c r="A8" s="322"/>
      <c r="B8" s="323" t="s">
        <v>332</v>
      </c>
      <c r="C8" s="323" t="s">
        <v>333</v>
      </c>
      <c r="D8" s="323" t="s">
        <v>334</v>
      </c>
      <c r="E8" s="323" t="s">
        <v>331</v>
      </c>
      <c r="F8" s="324" t="s">
        <v>90</v>
      </c>
      <c r="G8" s="325"/>
      <c r="H8" s="325"/>
      <c r="I8" s="326">
        <f>((210000)+568500)+300000</f>
        <v>1078500</v>
      </c>
      <c r="J8" s="326"/>
    </row>
    <row r="9" spans="1:10" ht="30" x14ac:dyDescent="0.2">
      <c r="A9" s="322"/>
      <c r="B9" s="323" t="s">
        <v>348</v>
      </c>
      <c r="C9" s="323" t="s">
        <v>71</v>
      </c>
      <c r="D9" s="323" t="s">
        <v>70</v>
      </c>
      <c r="E9" s="323" t="s">
        <v>349</v>
      </c>
      <c r="F9" s="324" t="s">
        <v>90</v>
      </c>
      <c r="G9" s="325"/>
      <c r="H9" s="325"/>
      <c r="I9" s="326">
        <v>475727</v>
      </c>
      <c r="J9" s="326"/>
    </row>
    <row r="10" spans="1:10" ht="30" x14ac:dyDescent="0.2">
      <c r="A10" s="322"/>
      <c r="B10" s="323" t="s">
        <v>338</v>
      </c>
      <c r="C10" s="323" t="s">
        <v>339</v>
      </c>
      <c r="D10" s="323" t="s">
        <v>340</v>
      </c>
      <c r="E10" s="323" t="s">
        <v>337</v>
      </c>
      <c r="F10" s="324" t="s">
        <v>90</v>
      </c>
      <c r="G10" s="325"/>
      <c r="H10" s="325"/>
      <c r="I10" s="326">
        <f>(1500000)+2000000</f>
        <v>3500000</v>
      </c>
      <c r="J10" s="326"/>
    </row>
    <row r="11" spans="1:10" ht="60" x14ac:dyDescent="0.2">
      <c r="A11" s="322"/>
      <c r="B11" s="323" t="s">
        <v>851</v>
      </c>
      <c r="C11" s="323" t="s">
        <v>591</v>
      </c>
      <c r="D11" s="323" t="s">
        <v>71</v>
      </c>
      <c r="E11" s="323" t="s">
        <v>592</v>
      </c>
      <c r="F11" s="327" t="s">
        <v>855</v>
      </c>
      <c r="G11" s="325"/>
      <c r="H11" s="325"/>
      <c r="I11" s="326">
        <v>100000</v>
      </c>
      <c r="J11" s="326"/>
    </row>
    <row r="12" spans="1:10" ht="60" x14ac:dyDescent="0.2">
      <c r="A12" s="322"/>
      <c r="B12" s="323" t="s">
        <v>853</v>
      </c>
      <c r="C12" s="323" t="s">
        <v>854</v>
      </c>
      <c r="D12" s="323" t="s">
        <v>71</v>
      </c>
      <c r="E12" s="323" t="s">
        <v>852</v>
      </c>
      <c r="F12" s="324" t="s">
        <v>90</v>
      </c>
      <c r="G12" s="325"/>
      <c r="H12" s="325"/>
      <c r="I12" s="326">
        <f>(58170+30300+400000+500000+25000+37182+15000+74000+84800+1200000+94000)-500000</f>
        <v>2018452</v>
      </c>
      <c r="J12" s="326"/>
    </row>
    <row r="13" spans="1:10" ht="60" x14ac:dyDescent="0.2">
      <c r="A13" s="322"/>
      <c r="B13" s="323" t="s">
        <v>853</v>
      </c>
      <c r="C13" s="323" t="s">
        <v>854</v>
      </c>
      <c r="D13" s="323" t="s">
        <v>71</v>
      </c>
      <c r="E13" s="323" t="s">
        <v>852</v>
      </c>
      <c r="F13" s="327" t="s">
        <v>960</v>
      </c>
      <c r="G13" s="325"/>
      <c r="H13" s="325"/>
      <c r="I13" s="326">
        <v>500000</v>
      </c>
      <c r="J13" s="326"/>
    </row>
    <row r="14" spans="1:10" ht="90" x14ac:dyDescent="0.2">
      <c r="A14" s="322"/>
      <c r="B14" s="323" t="s">
        <v>853</v>
      </c>
      <c r="C14" s="323" t="s">
        <v>854</v>
      </c>
      <c r="D14" s="323" t="s">
        <v>71</v>
      </c>
      <c r="E14" s="323" t="s">
        <v>852</v>
      </c>
      <c r="F14" s="327" t="s">
        <v>858</v>
      </c>
      <c r="G14" s="325"/>
      <c r="H14" s="325"/>
      <c r="I14" s="326">
        <f>(1000000)+500000</f>
        <v>1500000</v>
      </c>
      <c r="J14" s="326"/>
    </row>
    <row r="15" spans="1:10" ht="45" x14ac:dyDescent="0.2">
      <c r="A15" s="20"/>
      <c r="B15" s="319" t="s">
        <v>233</v>
      </c>
      <c r="C15" s="319"/>
      <c r="D15" s="319"/>
      <c r="E15" s="321" t="s">
        <v>0</v>
      </c>
      <c r="F15" s="319"/>
      <c r="G15" s="319"/>
      <c r="H15" s="319"/>
      <c r="I15" s="319">
        <f>I16</f>
        <v>43054437.039999999</v>
      </c>
      <c r="J15" s="319"/>
    </row>
    <row r="16" spans="1:10" ht="42.75" x14ac:dyDescent="0.2">
      <c r="A16" s="20"/>
      <c r="B16" s="320" t="s">
        <v>234</v>
      </c>
      <c r="C16" s="320"/>
      <c r="D16" s="320"/>
      <c r="E16" s="320" t="s">
        <v>1</v>
      </c>
      <c r="F16" s="320"/>
      <c r="G16" s="320"/>
      <c r="H16" s="320"/>
      <c r="I16" s="320">
        <f>SUM(I17:I30)</f>
        <v>43054437.039999999</v>
      </c>
      <c r="J16" s="320"/>
    </row>
    <row r="17" spans="1:11" ht="15" x14ac:dyDescent="0.2">
      <c r="B17" s="323" t="s">
        <v>289</v>
      </c>
      <c r="C17" s="323" t="s">
        <v>290</v>
      </c>
      <c r="D17" s="323" t="s">
        <v>292</v>
      </c>
      <c r="E17" s="323" t="s">
        <v>293</v>
      </c>
      <c r="F17" s="324" t="s">
        <v>90</v>
      </c>
      <c r="G17" s="324"/>
      <c r="H17" s="337"/>
      <c r="I17" s="326">
        <f>(((252000+2500000)+85050+3024412+498000)+293810)-500000+400000-292260+265777-295360+192517</f>
        <v>6423946</v>
      </c>
      <c r="J17" s="326"/>
    </row>
    <row r="18" spans="1:11" ht="89.45" customHeight="1" x14ac:dyDescent="0.2">
      <c r="B18" s="323" t="s">
        <v>295</v>
      </c>
      <c r="C18" s="323" t="s">
        <v>291</v>
      </c>
      <c r="D18" s="323" t="s">
        <v>296</v>
      </c>
      <c r="E18" s="323" t="s">
        <v>618</v>
      </c>
      <c r="F18" s="324" t="s">
        <v>90</v>
      </c>
      <c r="G18" s="324"/>
      <c r="H18" s="337"/>
      <c r="I18" s="326">
        <f>((((171000+2450000-200000)-200000)+3289000+2395200+3800000+1755405+209983.74+832762.3+69030+130614+70500+771570+507746)+4087678)-280000+1000000+100000+360000+1751862+68114-17500+3156560+120000-360000-3156560+1893940</f>
        <v>24776905.039999999</v>
      </c>
      <c r="J18" s="326"/>
    </row>
    <row r="19" spans="1:11" ht="89.45" customHeight="1" x14ac:dyDescent="0.2">
      <c r="B19" s="323" t="s">
        <v>295</v>
      </c>
      <c r="C19" s="323" t="s">
        <v>291</v>
      </c>
      <c r="D19" s="323" t="s">
        <v>296</v>
      </c>
      <c r="E19" s="323" t="s">
        <v>618</v>
      </c>
      <c r="F19" s="327" t="s">
        <v>705</v>
      </c>
      <c r="G19" s="324" t="s">
        <v>748</v>
      </c>
      <c r="H19" s="337">
        <v>305362</v>
      </c>
      <c r="I19" s="326">
        <v>100000</v>
      </c>
      <c r="J19" s="338">
        <f>I19/H19</f>
        <v>0.32748017107564137</v>
      </c>
    </row>
    <row r="20" spans="1:11" ht="105" x14ac:dyDescent="0.2">
      <c r="B20" s="323" t="s">
        <v>295</v>
      </c>
      <c r="C20" s="323" t="s">
        <v>291</v>
      </c>
      <c r="D20" s="323" t="s">
        <v>296</v>
      </c>
      <c r="E20" s="323" t="s">
        <v>618</v>
      </c>
      <c r="F20" s="327" t="s">
        <v>783</v>
      </c>
      <c r="G20" s="324" t="s">
        <v>776</v>
      </c>
      <c r="H20" s="337">
        <v>1601181</v>
      </c>
      <c r="I20" s="326">
        <f>200000+655000</f>
        <v>855000</v>
      </c>
      <c r="J20" s="338">
        <v>1</v>
      </c>
    </row>
    <row r="21" spans="1:11" ht="75" x14ac:dyDescent="0.2">
      <c r="B21" s="323" t="s">
        <v>295</v>
      </c>
      <c r="C21" s="323" t="s">
        <v>291</v>
      </c>
      <c r="D21" s="323" t="s">
        <v>296</v>
      </c>
      <c r="E21" s="323" t="s">
        <v>618</v>
      </c>
      <c r="F21" s="327" t="s">
        <v>814</v>
      </c>
      <c r="G21" s="324" t="s">
        <v>748</v>
      </c>
      <c r="H21" s="337">
        <v>1482763</v>
      </c>
      <c r="I21" s="326">
        <f>200000+1282763</f>
        <v>1482763</v>
      </c>
      <c r="J21" s="338">
        <f>I21/H21</f>
        <v>1</v>
      </c>
    </row>
    <row r="22" spans="1:11" ht="89.45" customHeight="1" x14ac:dyDescent="0.2">
      <c r="B22" s="323" t="s">
        <v>295</v>
      </c>
      <c r="C22" s="323" t="s">
        <v>291</v>
      </c>
      <c r="D22" s="323" t="s">
        <v>296</v>
      </c>
      <c r="E22" s="323" t="s">
        <v>618</v>
      </c>
      <c r="F22" s="327" t="s">
        <v>831</v>
      </c>
      <c r="G22" s="324" t="s">
        <v>816</v>
      </c>
      <c r="H22" s="337">
        <v>1497539</v>
      </c>
      <c r="I22" s="326">
        <v>300000</v>
      </c>
      <c r="J22" s="338">
        <f>I22/H22</f>
        <v>0.20032867257547216</v>
      </c>
      <c r="K22" s="16" t="s">
        <v>818</v>
      </c>
    </row>
    <row r="23" spans="1:11" ht="90" x14ac:dyDescent="0.2">
      <c r="B23" s="323" t="s">
        <v>299</v>
      </c>
      <c r="C23" s="323" t="s">
        <v>298</v>
      </c>
      <c r="D23" s="323" t="s">
        <v>300</v>
      </c>
      <c r="E23" s="323" t="s">
        <v>32</v>
      </c>
      <c r="F23" s="324" t="s">
        <v>90</v>
      </c>
      <c r="G23" s="324"/>
      <c r="H23" s="337"/>
      <c r="I23" s="326">
        <f>9000+30000</f>
        <v>39000</v>
      </c>
      <c r="J23" s="326"/>
    </row>
    <row r="24" spans="1:11" ht="45" x14ac:dyDescent="0.2">
      <c r="B24" s="323" t="s">
        <v>301</v>
      </c>
      <c r="C24" s="323" t="s">
        <v>282</v>
      </c>
      <c r="D24" s="323" t="s">
        <v>270</v>
      </c>
      <c r="E24" s="323" t="s">
        <v>33</v>
      </c>
      <c r="F24" s="324" t="s">
        <v>90</v>
      </c>
      <c r="G24" s="324"/>
      <c r="H24" s="337"/>
      <c r="I24" s="326">
        <f>(18000+2000000+60000)+1500000+60000</f>
        <v>3638000</v>
      </c>
      <c r="J24" s="326"/>
    </row>
    <row r="25" spans="1:11" ht="45" x14ac:dyDescent="0.2">
      <c r="B25" s="323" t="s">
        <v>301</v>
      </c>
      <c r="C25" s="323" t="s">
        <v>282</v>
      </c>
      <c r="D25" s="323" t="s">
        <v>270</v>
      </c>
      <c r="E25" s="323" t="s">
        <v>33</v>
      </c>
      <c r="F25" s="327" t="s">
        <v>614</v>
      </c>
      <c r="G25" s="324" t="s">
        <v>776</v>
      </c>
      <c r="H25" s="337">
        <v>1064162</v>
      </c>
      <c r="I25" s="326">
        <f>300000+300000</f>
        <v>600000</v>
      </c>
      <c r="J25" s="338">
        <v>1</v>
      </c>
    </row>
    <row r="26" spans="1:11" ht="30" x14ac:dyDescent="0.2">
      <c r="B26" s="323" t="s">
        <v>302</v>
      </c>
      <c r="C26" s="323" t="s">
        <v>303</v>
      </c>
      <c r="D26" s="323" t="s">
        <v>304</v>
      </c>
      <c r="E26" s="323" t="s">
        <v>305</v>
      </c>
      <c r="F26" s="324" t="s">
        <v>90</v>
      </c>
      <c r="G26" s="324"/>
      <c r="H26" s="337"/>
      <c r="I26" s="326">
        <v>216557</v>
      </c>
      <c r="J26" s="338"/>
    </row>
    <row r="27" spans="1:11" ht="75" x14ac:dyDescent="0.2">
      <c r="B27" s="323" t="s">
        <v>302</v>
      </c>
      <c r="C27" s="323" t="s">
        <v>303</v>
      </c>
      <c r="D27" s="323" t="s">
        <v>304</v>
      </c>
      <c r="E27" s="323" t="s">
        <v>305</v>
      </c>
      <c r="F27" s="327" t="s">
        <v>966</v>
      </c>
      <c r="G27" s="324" t="s">
        <v>748</v>
      </c>
      <c r="H27" s="337">
        <v>58266</v>
      </c>
      <c r="I27" s="326">
        <v>58266</v>
      </c>
      <c r="J27" s="338">
        <v>1</v>
      </c>
    </row>
    <row r="28" spans="1:11" ht="30" x14ac:dyDescent="0.2">
      <c r="B28" s="323" t="s">
        <v>494</v>
      </c>
      <c r="C28" s="323" t="s">
        <v>495</v>
      </c>
      <c r="D28" s="323" t="s">
        <v>309</v>
      </c>
      <c r="E28" s="323" t="s">
        <v>493</v>
      </c>
      <c r="F28" s="324" t="s">
        <v>90</v>
      </c>
      <c r="G28" s="324"/>
      <c r="H28" s="337"/>
      <c r="I28" s="326">
        <f>(9000)+15000</f>
        <v>24000</v>
      </c>
      <c r="J28" s="326"/>
    </row>
    <row r="29" spans="1:11" ht="30" x14ac:dyDescent="0.2">
      <c r="B29" s="339" t="s">
        <v>808</v>
      </c>
      <c r="C29" s="339" t="s">
        <v>809</v>
      </c>
      <c r="D29" s="339" t="s">
        <v>309</v>
      </c>
      <c r="E29" s="323" t="s">
        <v>810</v>
      </c>
      <c r="F29" s="324" t="s">
        <v>90</v>
      </c>
      <c r="G29" s="324"/>
      <c r="H29" s="337"/>
      <c r="I29" s="326">
        <v>200000</v>
      </c>
      <c r="J29" s="326"/>
    </row>
    <row r="30" spans="1:11" ht="19.5" customHeight="1" x14ac:dyDescent="0.2">
      <c r="A30" s="322"/>
      <c r="B30" s="323" t="s">
        <v>311</v>
      </c>
      <c r="C30" s="323" t="s">
        <v>312</v>
      </c>
      <c r="D30" s="323" t="s">
        <v>313</v>
      </c>
      <c r="E30" s="323" t="s">
        <v>67</v>
      </c>
      <c r="F30" s="324" t="s">
        <v>90</v>
      </c>
      <c r="G30" s="324"/>
      <c r="H30" s="337"/>
      <c r="I30" s="326">
        <f>(5000000)-848138-1751862+1440000+500000</f>
        <v>4340000</v>
      </c>
      <c r="J30" s="326"/>
    </row>
    <row r="31" spans="1:11" ht="45" x14ac:dyDescent="0.2">
      <c r="B31" s="319" t="s">
        <v>235</v>
      </c>
      <c r="C31" s="319"/>
      <c r="D31" s="319"/>
      <c r="E31" s="321" t="s">
        <v>36</v>
      </c>
      <c r="F31" s="319"/>
      <c r="G31" s="319"/>
      <c r="H31" s="319"/>
      <c r="I31" s="319">
        <f>I32</f>
        <v>30689967</v>
      </c>
      <c r="J31" s="319"/>
    </row>
    <row r="32" spans="1:11" ht="42.75" x14ac:dyDescent="0.2">
      <c r="B32" s="320" t="s">
        <v>236</v>
      </c>
      <c r="C32" s="320"/>
      <c r="D32" s="320"/>
      <c r="E32" s="320" t="s">
        <v>59</v>
      </c>
      <c r="F32" s="320"/>
      <c r="G32" s="320"/>
      <c r="H32" s="320"/>
      <c r="I32" s="320">
        <f>SUM(I33:I43)</f>
        <v>30689967</v>
      </c>
      <c r="J32" s="320"/>
    </row>
    <row r="33" spans="1:10" ht="30" x14ac:dyDescent="0.2">
      <c r="B33" s="323" t="s">
        <v>314</v>
      </c>
      <c r="C33" s="323" t="s">
        <v>310</v>
      </c>
      <c r="D33" s="323" t="s">
        <v>315</v>
      </c>
      <c r="E33" s="323" t="s">
        <v>37</v>
      </c>
      <c r="F33" s="324" t="s">
        <v>90</v>
      </c>
      <c r="G33" s="324"/>
      <c r="H33" s="324"/>
      <c r="I33" s="326">
        <f>(((3342900)-208200-167638+907400+500000+200000+1000000+574630+1500000+208200+167638-130216)+2000000)+825600+352700+168400+1398400+1108000+270000-37400</f>
        <v>13980414</v>
      </c>
      <c r="J33" s="326"/>
    </row>
    <row r="34" spans="1:10" ht="135" x14ac:dyDescent="0.2">
      <c r="A34" s="322"/>
      <c r="B34" s="323" t="s">
        <v>314</v>
      </c>
      <c r="C34" s="323" t="s">
        <v>310</v>
      </c>
      <c r="D34" s="323" t="s">
        <v>315</v>
      </c>
      <c r="E34" s="323" t="s">
        <v>37</v>
      </c>
      <c r="F34" s="323" t="s">
        <v>878</v>
      </c>
      <c r="G34" s="324" t="s">
        <v>748</v>
      </c>
      <c r="H34" s="324">
        <v>537155</v>
      </c>
      <c r="I34" s="326">
        <f>(350000)+160300</f>
        <v>510300</v>
      </c>
      <c r="J34" s="338">
        <v>1</v>
      </c>
    </row>
    <row r="35" spans="1:10" ht="90" x14ac:dyDescent="0.2">
      <c r="A35" s="322"/>
      <c r="B35" s="323" t="s">
        <v>314</v>
      </c>
      <c r="C35" s="323" t="s">
        <v>310</v>
      </c>
      <c r="D35" s="323" t="s">
        <v>315</v>
      </c>
      <c r="E35" s="323" t="s">
        <v>37</v>
      </c>
      <c r="F35" s="327" t="s">
        <v>877</v>
      </c>
      <c r="G35" s="324" t="s">
        <v>816</v>
      </c>
      <c r="H35" s="324">
        <v>8340131</v>
      </c>
      <c r="I35" s="326">
        <f>(390000+2000000)+2700000</f>
        <v>5090000</v>
      </c>
      <c r="J35" s="338">
        <f>I35/H35</f>
        <v>0.61030216431852213</v>
      </c>
    </row>
    <row r="36" spans="1:10" ht="30" x14ac:dyDescent="0.2">
      <c r="A36" s="134"/>
      <c r="B36" s="323" t="s">
        <v>316</v>
      </c>
      <c r="C36" s="323" t="s">
        <v>317</v>
      </c>
      <c r="D36" s="323" t="s">
        <v>318</v>
      </c>
      <c r="E36" s="323" t="s">
        <v>319</v>
      </c>
      <c r="F36" s="324" t="s">
        <v>90</v>
      </c>
      <c r="G36" s="326"/>
      <c r="H36" s="326"/>
      <c r="I36" s="326">
        <v>126000</v>
      </c>
      <c r="J36" s="326"/>
    </row>
    <row r="37" spans="1:10" ht="52.5" customHeight="1" x14ac:dyDescent="0.2">
      <c r="B37" s="323" t="s">
        <v>320</v>
      </c>
      <c r="C37" s="323" t="s">
        <v>321</v>
      </c>
      <c r="D37" s="323" t="s">
        <v>322</v>
      </c>
      <c r="E37" s="323" t="s">
        <v>541</v>
      </c>
      <c r="F37" s="324" t="s">
        <v>90</v>
      </c>
      <c r="G37" s="324"/>
      <c r="H37" s="324"/>
      <c r="I37" s="326">
        <f>939600-99000</f>
        <v>840600</v>
      </c>
      <c r="J37" s="326"/>
    </row>
    <row r="38" spans="1:10" ht="52.5" customHeight="1" x14ac:dyDescent="0.2">
      <c r="B38" s="323" t="s">
        <v>323</v>
      </c>
      <c r="C38" s="323" t="s">
        <v>324</v>
      </c>
      <c r="D38" s="323" t="s">
        <v>325</v>
      </c>
      <c r="E38" s="323" t="s">
        <v>326</v>
      </c>
      <c r="F38" s="324" t="s">
        <v>90</v>
      </c>
      <c r="G38" s="324"/>
      <c r="H38" s="324"/>
      <c r="I38" s="326">
        <v>1600000</v>
      </c>
      <c r="J38" s="326"/>
    </row>
    <row r="39" spans="1:10" ht="100.5" customHeight="1" x14ac:dyDescent="0.2">
      <c r="B39" s="323" t="s">
        <v>498</v>
      </c>
      <c r="C39" s="323" t="s">
        <v>500</v>
      </c>
      <c r="D39" s="339" t="s">
        <v>330</v>
      </c>
      <c r="E39" s="340" t="s">
        <v>496</v>
      </c>
      <c r="F39" s="340" t="s">
        <v>879</v>
      </c>
      <c r="G39" s="324"/>
      <c r="H39" s="324"/>
      <c r="I39" s="326">
        <f>167704-60000</f>
        <v>107704</v>
      </c>
      <c r="J39" s="326"/>
    </row>
    <row r="40" spans="1:10" ht="30" x14ac:dyDescent="0.2">
      <c r="B40" s="323" t="s">
        <v>874</v>
      </c>
      <c r="C40" s="323" t="s">
        <v>288</v>
      </c>
      <c r="D40" s="323" t="s">
        <v>251</v>
      </c>
      <c r="E40" s="323" t="s">
        <v>57</v>
      </c>
      <c r="F40" s="324" t="s">
        <v>90</v>
      </c>
      <c r="G40" s="324"/>
      <c r="H40" s="324"/>
      <c r="I40" s="326">
        <f>(215650+500000+1300000+32670+2270000+99100+189000+89000+137600+27500+18340+16016+45000+47500+1600000+208200+167638+25000-208200-167638-1600000+130216)+390000+37400-11300+11300+80000-390000+96000+192200+42000</f>
        <v>5590192</v>
      </c>
      <c r="J40" s="326"/>
    </row>
    <row r="41" spans="1:10" ht="90" x14ac:dyDescent="0.2">
      <c r="B41" s="323" t="s">
        <v>874</v>
      </c>
      <c r="C41" s="323" t="s">
        <v>288</v>
      </c>
      <c r="D41" s="323" t="s">
        <v>251</v>
      </c>
      <c r="E41" s="323" t="s">
        <v>57</v>
      </c>
      <c r="F41" s="327" t="s">
        <v>901</v>
      </c>
      <c r="G41" s="324"/>
      <c r="H41" s="324"/>
      <c r="I41" s="326">
        <v>600000</v>
      </c>
      <c r="J41" s="326"/>
    </row>
    <row r="42" spans="1:10" ht="105" x14ac:dyDescent="0.2">
      <c r="A42" s="322"/>
      <c r="B42" s="323" t="s">
        <v>874</v>
      </c>
      <c r="C42" s="323" t="s">
        <v>288</v>
      </c>
      <c r="D42" s="323" t="s">
        <v>251</v>
      </c>
      <c r="E42" s="323" t="s">
        <v>57</v>
      </c>
      <c r="F42" s="327" t="s">
        <v>898</v>
      </c>
      <c r="G42" s="324"/>
      <c r="H42" s="324"/>
      <c r="I42" s="326">
        <f>((200000)+1000000)-500000</f>
        <v>700000</v>
      </c>
      <c r="J42" s="326"/>
    </row>
    <row r="43" spans="1:10" ht="15" x14ac:dyDescent="0.2">
      <c r="B43" s="323" t="s">
        <v>876</v>
      </c>
      <c r="C43" s="323" t="s">
        <v>591</v>
      </c>
      <c r="D43" s="323" t="s">
        <v>71</v>
      </c>
      <c r="E43" s="323" t="s">
        <v>592</v>
      </c>
      <c r="F43" s="324" t="s">
        <v>90</v>
      </c>
      <c r="G43" s="324"/>
      <c r="H43" s="324"/>
      <c r="I43" s="326">
        <f>(750692+35300+150000+218765)+390000</f>
        <v>1544757</v>
      </c>
      <c r="J43" s="326"/>
    </row>
    <row r="44" spans="1:10" ht="45" x14ac:dyDescent="0.2">
      <c r="B44" s="319" t="s">
        <v>237</v>
      </c>
      <c r="C44" s="319"/>
      <c r="D44" s="319"/>
      <c r="E44" s="321" t="s">
        <v>60</v>
      </c>
      <c r="F44" s="319"/>
      <c r="G44" s="319"/>
      <c r="H44" s="319"/>
      <c r="I44" s="319">
        <f>I45</f>
        <v>24279525.48</v>
      </c>
      <c r="J44" s="319"/>
    </row>
    <row r="45" spans="1:10" ht="57" x14ac:dyDescent="0.2">
      <c r="B45" s="320" t="s">
        <v>238</v>
      </c>
      <c r="C45" s="320"/>
      <c r="D45" s="320"/>
      <c r="E45" s="320" t="s">
        <v>61</v>
      </c>
      <c r="F45" s="320"/>
      <c r="G45" s="320"/>
      <c r="H45" s="320"/>
      <c r="I45" s="320">
        <f>SUM(I46:I62)</f>
        <v>24279525.48</v>
      </c>
      <c r="J45" s="320"/>
    </row>
    <row r="46" spans="1:10" ht="45" x14ac:dyDescent="0.2">
      <c r="B46" s="345" t="s">
        <v>711</v>
      </c>
      <c r="C46" s="345" t="s">
        <v>336</v>
      </c>
      <c r="D46" s="345" t="s">
        <v>334</v>
      </c>
      <c r="E46" s="345" t="s">
        <v>335</v>
      </c>
      <c r="F46" s="346" t="s">
        <v>90</v>
      </c>
      <c r="G46" s="346"/>
      <c r="H46" s="346"/>
      <c r="I46" s="347">
        <f>(450000)+49000</f>
        <v>499000</v>
      </c>
      <c r="J46" s="347"/>
    </row>
    <row r="47" spans="1:10" ht="30" x14ac:dyDescent="0.2">
      <c r="B47" s="345" t="s">
        <v>401</v>
      </c>
      <c r="C47" s="345" t="s">
        <v>402</v>
      </c>
      <c r="D47" s="345" t="s">
        <v>297</v>
      </c>
      <c r="E47" s="354" t="s">
        <v>403</v>
      </c>
      <c r="F47" s="346" t="s">
        <v>90</v>
      </c>
      <c r="G47" s="355"/>
      <c r="H47" s="355"/>
      <c r="I47" s="356">
        <v>100000</v>
      </c>
      <c r="J47" s="356"/>
    </row>
    <row r="48" spans="1:10" ht="75" customHeight="1" x14ac:dyDescent="0.2">
      <c r="B48" s="345" t="s">
        <v>399</v>
      </c>
      <c r="C48" s="345" t="s">
        <v>397</v>
      </c>
      <c r="D48" s="345" t="s">
        <v>291</v>
      </c>
      <c r="E48" s="345" t="s">
        <v>35</v>
      </c>
      <c r="F48" s="346" t="s">
        <v>90</v>
      </c>
      <c r="G48" s="346"/>
      <c r="H48" s="346"/>
      <c r="I48" s="347">
        <f>((175000)+20000+10000)-82860+80360</f>
        <v>202500</v>
      </c>
      <c r="J48" s="347"/>
    </row>
    <row r="49" spans="1:11" ht="75" customHeight="1" x14ac:dyDescent="0.2">
      <c r="B49" s="345" t="s">
        <v>400</v>
      </c>
      <c r="C49" s="345" t="s">
        <v>398</v>
      </c>
      <c r="D49" s="345" t="s">
        <v>290</v>
      </c>
      <c r="E49" s="345" t="s">
        <v>504</v>
      </c>
      <c r="F49" s="346" t="s">
        <v>90</v>
      </c>
      <c r="G49" s="346"/>
      <c r="H49" s="346"/>
      <c r="I49" s="347">
        <f>3000+226250+45000</f>
        <v>274250</v>
      </c>
      <c r="J49" s="347"/>
    </row>
    <row r="50" spans="1:11" ht="105" x14ac:dyDescent="0.2">
      <c r="B50" s="507" t="s">
        <v>940</v>
      </c>
      <c r="C50" s="507" t="s">
        <v>941</v>
      </c>
      <c r="D50" s="507" t="s">
        <v>79</v>
      </c>
      <c r="E50" s="357" t="s">
        <v>942</v>
      </c>
      <c r="F50" s="510" t="s">
        <v>90</v>
      </c>
      <c r="G50" s="510"/>
      <c r="H50" s="510"/>
      <c r="I50" s="513">
        <v>5371203.1200000001</v>
      </c>
      <c r="J50" s="510"/>
    </row>
    <row r="51" spans="1:11" ht="105" x14ac:dyDescent="0.2">
      <c r="B51" s="508"/>
      <c r="C51" s="508"/>
      <c r="D51" s="508"/>
      <c r="E51" s="357" t="s">
        <v>943</v>
      </c>
      <c r="F51" s="511"/>
      <c r="G51" s="511"/>
      <c r="H51" s="511"/>
      <c r="I51" s="511"/>
      <c r="J51" s="511"/>
    </row>
    <row r="52" spans="1:11" ht="90" x14ac:dyDescent="0.2">
      <c r="B52" s="509"/>
      <c r="C52" s="509"/>
      <c r="D52" s="509"/>
      <c r="E52" s="358" t="s">
        <v>944</v>
      </c>
      <c r="F52" s="512"/>
      <c r="G52" s="512"/>
      <c r="H52" s="512"/>
      <c r="I52" s="512"/>
      <c r="J52" s="512"/>
    </row>
    <row r="53" spans="1:11" ht="107.45" customHeight="1" x14ac:dyDescent="0.2">
      <c r="B53" s="507" t="s">
        <v>945</v>
      </c>
      <c r="C53" s="507" t="s">
        <v>946</v>
      </c>
      <c r="D53" s="507" t="s">
        <v>79</v>
      </c>
      <c r="E53" s="359" t="s">
        <v>947</v>
      </c>
      <c r="F53" s="510" t="s">
        <v>90</v>
      </c>
      <c r="G53" s="510"/>
      <c r="H53" s="510"/>
      <c r="I53" s="513">
        <v>7952988.3600000003</v>
      </c>
      <c r="J53" s="510"/>
    </row>
    <row r="54" spans="1:11" ht="105" x14ac:dyDescent="0.2">
      <c r="B54" s="508"/>
      <c r="C54" s="508"/>
      <c r="D54" s="508"/>
      <c r="E54" s="358" t="s">
        <v>948</v>
      </c>
      <c r="F54" s="511"/>
      <c r="G54" s="511"/>
      <c r="H54" s="511"/>
      <c r="I54" s="511"/>
      <c r="J54" s="511"/>
    </row>
    <row r="55" spans="1:11" ht="30" x14ac:dyDescent="0.2">
      <c r="B55" s="509"/>
      <c r="C55" s="509"/>
      <c r="D55" s="509"/>
      <c r="E55" s="358" t="s">
        <v>949</v>
      </c>
      <c r="F55" s="512"/>
      <c r="G55" s="512"/>
      <c r="H55" s="512"/>
      <c r="I55" s="512"/>
      <c r="J55" s="512"/>
    </row>
    <row r="56" spans="1:11" ht="45" x14ac:dyDescent="0.2">
      <c r="B56" s="345" t="s">
        <v>513</v>
      </c>
      <c r="C56" s="345" t="s">
        <v>515</v>
      </c>
      <c r="D56" s="345" t="s">
        <v>282</v>
      </c>
      <c r="E56" s="360" t="s">
        <v>517</v>
      </c>
      <c r="F56" s="346" t="s">
        <v>90</v>
      </c>
      <c r="G56" s="356"/>
      <c r="H56" s="351"/>
      <c r="I56" s="347">
        <f>((300000+900000+650000)+10000+10000+379343+16000+28650+213910-10400)+300000+95000-300000+689000</f>
        <v>3281503</v>
      </c>
      <c r="J56" s="347"/>
    </row>
    <row r="57" spans="1:11" ht="105" x14ac:dyDescent="0.2">
      <c r="B57" s="345" t="s">
        <v>513</v>
      </c>
      <c r="C57" s="345" t="s">
        <v>515</v>
      </c>
      <c r="D57" s="345" t="s">
        <v>282</v>
      </c>
      <c r="E57" s="360" t="s">
        <v>517</v>
      </c>
      <c r="F57" s="348" t="s">
        <v>782</v>
      </c>
      <c r="G57" s="346" t="s">
        <v>748</v>
      </c>
      <c r="H57" s="351">
        <v>406827</v>
      </c>
      <c r="I57" s="347">
        <f>180000+226827</f>
        <v>406827</v>
      </c>
      <c r="J57" s="350">
        <f>I57/H57</f>
        <v>1</v>
      </c>
      <c r="K57" s="154" t="s">
        <v>692</v>
      </c>
    </row>
    <row r="58" spans="1:11" ht="30" x14ac:dyDescent="0.2">
      <c r="B58" s="345" t="s">
        <v>514</v>
      </c>
      <c r="C58" s="345" t="s">
        <v>516</v>
      </c>
      <c r="D58" s="345" t="s">
        <v>282</v>
      </c>
      <c r="E58" s="360" t="s">
        <v>518</v>
      </c>
      <c r="F58" s="346" t="s">
        <v>90</v>
      </c>
      <c r="G58" s="346"/>
      <c r="H58" s="351"/>
      <c r="I58" s="347">
        <v>199000</v>
      </c>
      <c r="J58" s="350"/>
      <c r="K58" s="239"/>
    </row>
    <row r="59" spans="1:11" ht="30" x14ac:dyDescent="0.2">
      <c r="B59" s="345" t="s">
        <v>514</v>
      </c>
      <c r="C59" s="345" t="s">
        <v>516</v>
      </c>
      <c r="D59" s="345" t="s">
        <v>282</v>
      </c>
      <c r="E59" s="360" t="s">
        <v>518</v>
      </c>
      <c r="F59" s="348" t="s">
        <v>563</v>
      </c>
      <c r="G59" s="356"/>
      <c r="H59" s="356"/>
      <c r="I59" s="347">
        <v>220000</v>
      </c>
      <c r="J59" s="347"/>
    </row>
    <row r="60" spans="1:11" ht="30" x14ac:dyDescent="0.2">
      <c r="B60" s="345" t="s">
        <v>598</v>
      </c>
      <c r="C60" s="345" t="s">
        <v>596</v>
      </c>
      <c r="D60" s="345" t="s">
        <v>532</v>
      </c>
      <c r="E60" s="360" t="s">
        <v>597</v>
      </c>
      <c r="F60" s="346" t="s">
        <v>90</v>
      </c>
      <c r="G60" s="356"/>
      <c r="H60" s="351"/>
      <c r="I60" s="347">
        <f>(3500000)-258036</f>
        <v>3241964</v>
      </c>
      <c r="J60" s="347"/>
    </row>
    <row r="61" spans="1:11" ht="105" x14ac:dyDescent="0.2">
      <c r="B61" s="323" t="s">
        <v>976</v>
      </c>
      <c r="C61" s="323" t="s">
        <v>977</v>
      </c>
      <c r="D61" s="323" t="s">
        <v>532</v>
      </c>
      <c r="E61" s="340" t="s">
        <v>975</v>
      </c>
      <c r="F61" s="346" t="s">
        <v>90</v>
      </c>
      <c r="G61" s="356"/>
      <c r="H61" s="351"/>
      <c r="I61" s="347">
        <v>530290</v>
      </c>
      <c r="J61" s="429"/>
    </row>
    <row r="62" spans="1:11" ht="105" x14ac:dyDescent="0.2">
      <c r="B62" s="345" t="s">
        <v>693</v>
      </c>
      <c r="C62" s="345" t="s">
        <v>694</v>
      </c>
      <c r="D62" s="345" t="s">
        <v>445</v>
      </c>
      <c r="E62" s="360" t="s">
        <v>695</v>
      </c>
      <c r="F62" s="348" t="s">
        <v>696</v>
      </c>
      <c r="G62" s="347" t="s">
        <v>816</v>
      </c>
      <c r="H62" s="351">
        <v>8638500</v>
      </c>
      <c r="I62" s="347">
        <f>(1000000)+1000000</f>
        <v>2000000</v>
      </c>
      <c r="J62" s="349">
        <f>I62/H62</f>
        <v>0.23152167621693581</v>
      </c>
    </row>
    <row r="63" spans="1:11" ht="45" x14ac:dyDescent="0.2">
      <c r="A63" s="241"/>
      <c r="B63" s="352">
        <v>1000000</v>
      </c>
      <c r="C63" s="319"/>
      <c r="D63" s="319"/>
      <c r="E63" s="321" t="s">
        <v>43</v>
      </c>
      <c r="F63" s="319"/>
      <c r="G63" s="319"/>
      <c r="H63" s="319"/>
      <c r="I63" s="319">
        <f>I64</f>
        <v>7904454</v>
      </c>
      <c r="J63" s="319"/>
    </row>
    <row r="64" spans="1:11" ht="42.75" x14ac:dyDescent="0.2">
      <c r="A64" s="241"/>
      <c r="B64" s="353">
        <v>1010000</v>
      </c>
      <c r="C64" s="320"/>
      <c r="D64" s="320"/>
      <c r="E64" s="320" t="s">
        <v>62</v>
      </c>
      <c r="F64" s="320"/>
      <c r="G64" s="320"/>
      <c r="H64" s="320"/>
      <c r="I64" s="320">
        <f>SUM(I65:I71)</f>
        <v>7904454</v>
      </c>
      <c r="J64" s="320"/>
    </row>
    <row r="65" spans="1:10" ht="60" x14ac:dyDescent="0.2">
      <c r="B65" s="345" t="s">
        <v>34</v>
      </c>
      <c r="C65" s="345" t="s">
        <v>269</v>
      </c>
      <c r="D65" s="345" t="s">
        <v>270</v>
      </c>
      <c r="E65" s="345" t="s">
        <v>268</v>
      </c>
      <c r="F65" s="346" t="s">
        <v>90</v>
      </c>
      <c r="G65" s="346"/>
      <c r="H65" s="346"/>
      <c r="I65" s="347">
        <f>((386442)+67100+547508)-400000</f>
        <v>601050</v>
      </c>
      <c r="J65" s="347"/>
    </row>
    <row r="66" spans="1:10" ht="60" x14ac:dyDescent="0.2">
      <c r="B66" s="345" t="s">
        <v>34</v>
      </c>
      <c r="C66" s="345" t="s">
        <v>269</v>
      </c>
      <c r="D66" s="345" t="s">
        <v>270</v>
      </c>
      <c r="E66" s="345" t="s">
        <v>268</v>
      </c>
      <c r="F66" s="348" t="s">
        <v>840</v>
      </c>
      <c r="G66" s="347" t="s">
        <v>776</v>
      </c>
      <c r="H66" s="346">
        <v>431954</v>
      </c>
      <c r="I66" s="347">
        <v>431954</v>
      </c>
      <c r="J66" s="349">
        <v>1</v>
      </c>
    </row>
    <row r="67" spans="1:10" ht="15" x14ac:dyDescent="0.2">
      <c r="B67" s="345" t="s">
        <v>258</v>
      </c>
      <c r="C67" s="345" t="s">
        <v>259</v>
      </c>
      <c r="D67" s="345" t="s">
        <v>260</v>
      </c>
      <c r="E67" s="345" t="s">
        <v>261</v>
      </c>
      <c r="F67" s="346" t="s">
        <v>90</v>
      </c>
      <c r="G67" s="346"/>
      <c r="H67" s="346"/>
      <c r="I67" s="347">
        <f>400000+87250+46500+98200</f>
        <v>631950</v>
      </c>
      <c r="J67" s="347"/>
    </row>
    <row r="68" spans="1:10" ht="15" x14ac:dyDescent="0.2">
      <c r="B68" s="345" t="s">
        <v>262</v>
      </c>
      <c r="C68" s="345" t="s">
        <v>263</v>
      </c>
      <c r="D68" s="345" t="s">
        <v>260</v>
      </c>
      <c r="E68" s="345" t="s">
        <v>264</v>
      </c>
      <c r="F68" s="346" t="s">
        <v>90</v>
      </c>
      <c r="G68" s="346"/>
      <c r="H68" s="346"/>
      <c r="I68" s="347">
        <v>70000</v>
      </c>
      <c r="J68" s="347"/>
    </row>
    <row r="69" spans="1:10" ht="60" x14ac:dyDescent="0.2">
      <c r="B69" s="345" t="s">
        <v>262</v>
      </c>
      <c r="C69" s="345" t="s">
        <v>263</v>
      </c>
      <c r="D69" s="345" t="s">
        <v>260</v>
      </c>
      <c r="E69" s="345" t="s">
        <v>264</v>
      </c>
      <c r="F69" s="348" t="s">
        <v>31</v>
      </c>
      <c r="G69" s="347" t="s">
        <v>688</v>
      </c>
      <c r="H69" s="347">
        <v>26997397.190000001</v>
      </c>
      <c r="I69" s="347">
        <f>(2930000)+2000000</f>
        <v>4930000</v>
      </c>
      <c r="J69" s="350">
        <f>1-((18158597.19-2000000)/H69)</f>
        <v>0.40147573944701442</v>
      </c>
    </row>
    <row r="70" spans="1:10" ht="45" x14ac:dyDescent="0.2">
      <c r="B70" s="345" t="s">
        <v>265</v>
      </c>
      <c r="C70" s="345" t="s">
        <v>254</v>
      </c>
      <c r="D70" s="345" t="s">
        <v>266</v>
      </c>
      <c r="E70" s="345" t="s">
        <v>267</v>
      </c>
      <c r="F70" s="346" t="s">
        <v>90</v>
      </c>
      <c r="G70" s="347"/>
      <c r="H70" s="351"/>
      <c r="I70" s="347">
        <f>(500000)+630000+60000</f>
        <v>1190000</v>
      </c>
      <c r="J70" s="347"/>
    </row>
    <row r="71" spans="1:10" ht="30" x14ac:dyDescent="0.2">
      <c r="B71" s="345" t="s">
        <v>839</v>
      </c>
      <c r="C71" s="345" t="s">
        <v>288</v>
      </c>
      <c r="D71" s="345" t="s">
        <v>251</v>
      </c>
      <c r="E71" s="345" t="s">
        <v>57</v>
      </c>
      <c r="F71" s="346" t="s">
        <v>90</v>
      </c>
      <c r="G71" s="347"/>
      <c r="H71" s="351"/>
      <c r="I71" s="347">
        <f>(25000)+24500</f>
        <v>49500</v>
      </c>
      <c r="J71" s="347"/>
    </row>
    <row r="72" spans="1:10" ht="45" x14ac:dyDescent="0.2">
      <c r="B72" s="352" t="s">
        <v>40</v>
      </c>
      <c r="C72" s="319"/>
      <c r="D72" s="319"/>
      <c r="E72" s="321" t="s">
        <v>41</v>
      </c>
      <c r="F72" s="319"/>
      <c r="G72" s="319"/>
      <c r="H72" s="319"/>
      <c r="I72" s="319">
        <f>I73</f>
        <v>3135340</v>
      </c>
      <c r="J72" s="319"/>
    </row>
    <row r="73" spans="1:10" ht="42.75" x14ac:dyDescent="0.2">
      <c r="B73" s="353" t="s">
        <v>39</v>
      </c>
      <c r="C73" s="320"/>
      <c r="D73" s="320"/>
      <c r="E73" s="320" t="s">
        <v>58</v>
      </c>
      <c r="F73" s="320"/>
      <c r="G73" s="320"/>
      <c r="H73" s="320"/>
      <c r="I73" s="320">
        <f>SUM(I74:I81)</f>
        <v>3135340</v>
      </c>
      <c r="J73" s="320"/>
    </row>
    <row r="74" spans="1:10" ht="45" x14ac:dyDescent="0.2">
      <c r="A74" s="322"/>
      <c r="B74" s="323" t="s">
        <v>272</v>
      </c>
      <c r="C74" s="323" t="s">
        <v>273</v>
      </c>
      <c r="D74" s="323" t="s">
        <v>274</v>
      </c>
      <c r="E74" s="323" t="s">
        <v>275</v>
      </c>
      <c r="F74" s="324" t="s">
        <v>90</v>
      </c>
      <c r="G74" s="324"/>
      <c r="H74" s="324"/>
      <c r="I74" s="326">
        <v>53278</v>
      </c>
      <c r="J74" s="393"/>
    </row>
    <row r="75" spans="1:10" s="136" customFormat="1" ht="30" x14ac:dyDescent="0.2">
      <c r="A75" s="378"/>
      <c r="B75" s="323" t="s">
        <v>279</v>
      </c>
      <c r="C75" s="323" t="s">
        <v>280</v>
      </c>
      <c r="D75" s="323" t="s">
        <v>274</v>
      </c>
      <c r="E75" s="323" t="s">
        <v>23</v>
      </c>
      <c r="F75" s="324" t="s">
        <v>90</v>
      </c>
      <c r="G75" s="379"/>
      <c r="H75" s="379"/>
      <c r="I75" s="326">
        <f>((592430)+199000+285686)+8000-120556+48687</f>
        <v>1013247</v>
      </c>
      <c r="J75" s="326"/>
    </row>
    <row r="76" spans="1:10" s="136" customFormat="1" ht="60" x14ac:dyDescent="0.2">
      <c r="A76" s="378"/>
      <c r="B76" s="323" t="s">
        <v>279</v>
      </c>
      <c r="C76" s="323" t="s">
        <v>280</v>
      </c>
      <c r="D76" s="323" t="s">
        <v>274</v>
      </c>
      <c r="E76" s="323" t="s">
        <v>23</v>
      </c>
      <c r="F76" s="323" t="s">
        <v>893</v>
      </c>
      <c r="G76" s="379"/>
      <c r="H76" s="379"/>
      <c r="I76" s="326">
        <v>66820</v>
      </c>
      <c r="J76" s="326"/>
    </row>
    <row r="77" spans="1:10" s="136" customFormat="1" ht="75" x14ac:dyDescent="0.2">
      <c r="A77" s="378"/>
      <c r="B77" s="323" t="s">
        <v>279</v>
      </c>
      <c r="C77" s="323" t="s">
        <v>280</v>
      </c>
      <c r="D77" s="323" t="s">
        <v>274</v>
      </c>
      <c r="E77" s="323" t="s">
        <v>23</v>
      </c>
      <c r="F77" s="323" t="s">
        <v>967</v>
      </c>
      <c r="G77" s="379"/>
      <c r="H77" s="379"/>
      <c r="I77" s="326">
        <v>8988</v>
      </c>
      <c r="J77" s="326"/>
    </row>
    <row r="78" spans="1:10" s="136" customFormat="1" ht="15" x14ac:dyDescent="0.2">
      <c r="A78" s="378"/>
      <c r="B78" s="323" t="s">
        <v>564</v>
      </c>
      <c r="C78" s="323" t="s">
        <v>565</v>
      </c>
      <c r="D78" s="323" t="s">
        <v>274</v>
      </c>
      <c r="E78" s="323" t="s">
        <v>566</v>
      </c>
      <c r="F78" s="324" t="s">
        <v>90</v>
      </c>
      <c r="G78" s="379"/>
      <c r="H78" s="379"/>
      <c r="I78" s="326">
        <f>((816103)+45000+6600+100000+280000+119000)+30000-120200</f>
        <v>1276503</v>
      </c>
      <c r="J78" s="326"/>
    </row>
    <row r="79" spans="1:10" s="136" customFormat="1" ht="45" x14ac:dyDescent="0.2">
      <c r="A79" s="378"/>
      <c r="B79" s="323" t="s">
        <v>49</v>
      </c>
      <c r="C79" s="323" t="s">
        <v>283</v>
      </c>
      <c r="D79" s="323" t="s">
        <v>286</v>
      </c>
      <c r="E79" s="323" t="s">
        <v>77</v>
      </c>
      <c r="F79" s="324" t="s">
        <v>90</v>
      </c>
      <c r="G79" s="379"/>
      <c r="H79" s="379"/>
      <c r="I79" s="326">
        <f>(140000+199800)+97000</f>
        <v>436800</v>
      </c>
      <c r="J79" s="326"/>
    </row>
    <row r="80" spans="1:10" s="136" customFormat="1" ht="90" x14ac:dyDescent="0.2">
      <c r="A80" s="378"/>
      <c r="B80" s="323" t="s">
        <v>49</v>
      </c>
      <c r="C80" s="323" t="s">
        <v>283</v>
      </c>
      <c r="D80" s="323" t="s">
        <v>286</v>
      </c>
      <c r="E80" s="323" t="s">
        <v>77</v>
      </c>
      <c r="F80" s="327" t="s">
        <v>888</v>
      </c>
      <c r="G80" s="337" t="s">
        <v>779</v>
      </c>
      <c r="H80" s="379">
        <v>5311662</v>
      </c>
      <c r="I80" s="326">
        <v>180000</v>
      </c>
      <c r="J80" s="338">
        <f>(1000300+I80)/H80</f>
        <v>0.22220916918282826</v>
      </c>
    </row>
    <row r="81" spans="1:10" s="136" customFormat="1" ht="30" x14ac:dyDescent="0.2">
      <c r="A81" s="378"/>
      <c r="B81" s="323" t="s">
        <v>887</v>
      </c>
      <c r="C81" s="323" t="s">
        <v>288</v>
      </c>
      <c r="D81" s="323" t="s">
        <v>251</v>
      </c>
      <c r="E81" s="323" t="s">
        <v>57</v>
      </c>
      <c r="F81" s="324" t="s">
        <v>90</v>
      </c>
      <c r="G81" s="337"/>
      <c r="H81" s="379"/>
      <c r="I81" s="326">
        <v>99704</v>
      </c>
      <c r="J81" s="338"/>
    </row>
    <row r="82" spans="1:10" ht="45" x14ac:dyDescent="0.2">
      <c r="B82" s="352" t="s">
        <v>239</v>
      </c>
      <c r="C82" s="319"/>
      <c r="D82" s="319"/>
      <c r="E82" s="321" t="s">
        <v>42</v>
      </c>
      <c r="F82" s="319"/>
      <c r="G82" s="319"/>
      <c r="H82" s="319"/>
      <c r="I82" s="319">
        <f>I83</f>
        <v>233313347.31</v>
      </c>
      <c r="J82" s="319"/>
    </row>
    <row r="83" spans="1:10" ht="45" customHeight="1" x14ac:dyDescent="0.2">
      <c r="B83" s="353" t="s">
        <v>240</v>
      </c>
      <c r="C83" s="320"/>
      <c r="D83" s="320"/>
      <c r="E83" s="320" t="s">
        <v>63</v>
      </c>
      <c r="F83" s="320"/>
      <c r="G83" s="320"/>
      <c r="H83" s="320"/>
      <c r="I83" s="320">
        <f>SUM(I84:I87)+I88+I97+I99+I100+I96+I98</f>
        <v>233313347.31</v>
      </c>
      <c r="J83" s="320"/>
    </row>
    <row r="84" spans="1:10" ht="37.5" customHeight="1" x14ac:dyDescent="0.2">
      <c r="B84" s="323" t="s">
        <v>412</v>
      </c>
      <c r="C84" s="323" t="s">
        <v>413</v>
      </c>
      <c r="D84" s="323" t="s">
        <v>532</v>
      </c>
      <c r="E84" s="323" t="s">
        <v>414</v>
      </c>
      <c r="F84" s="324" t="s">
        <v>90</v>
      </c>
      <c r="G84" s="324"/>
      <c r="H84" s="324"/>
      <c r="I84" s="380">
        <v>4550000</v>
      </c>
      <c r="J84" s="380"/>
    </row>
    <row r="85" spans="1:10" ht="53.45" customHeight="1" x14ac:dyDescent="0.2">
      <c r="B85" s="323" t="s">
        <v>442</v>
      </c>
      <c r="C85" s="323" t="s">
        <v>443</v>
      </c>
      <c r="D85" s="323" t="s">
        <v>415</v>
      </c>
      <c r="E85" s="323" t="s">
        <v>444</v>
      </c>
      <c r="F85" s="324" t="s">
        <v>90</v>
      </c>
      <c r="G85" s="324"/>
      <c r="H85" s="324"/>
      <c r="I85" s="380">
        <f>(5000000)+770000</f>
        <v>5770000</v>
      </c>
      <c r="J85" s="380"/>
    </row>
    <row r="86" spans="1:10" ht="37.5" customHeight="1" x14ac:dyDescent="0.2">
      <c r="B86" s="323" t="s">
        <v>416</v>
      </c>
      <c r="C86" s="323" t="s">
        <v>417</v>
      </c>
      <c r="D86" s="323" t="s">
        <v>415</v>
      </c>
      <c r="E86" s="323" t="s">
        <v>418</v>
      </c>
      <c r="F86" s="324" t="s">
        <v>90</v>
      </c>
      <c r="G86" s="324"/>
      <c r="H86" s="324"/>
      <c r="I86" s="380">
        <f>((23000000)+271028+1000000)+60000</f>
        <v>24331028</v>
      </c>
      <c r="J86" s="380"/>
    </row>
    <row r="87" spans="1:10" ht="37.5" customHeight="1" x14ac:dyDescent="0.2">
      <c r="B87" s="323" t="s">
        <v>422</v>
      </c>
      <c r="C87" s="323" t="s">
        <v>423</v>
      </c>
      <c r="D87" s="323" t="s">
        <v>415</v>
      </c>
      <c r="E87" s="323" t="s">
        <v>424</v>
      </c>
      <c r="F87" s="324" t="s">
        <v>90</v>
      </c>
      <c r="G87" s="324"/>
      <c r="H87" s="324"/>
      <c r="I87" s="380">
        <f>(((19160721)+3210000+1000000-1000000)-184050+1774730)</f>
        <v>23961401</v>
      </c>
      <c r="J87" s="380"/>
    </row>
    <row r="88" spans="1:10" ht="38.25" customHeight="1" x14ac:dyDescent="0.2">
      <c r="B88" s="323" t="s">
        <v>446</v>
      </c>
      <c r="C88" s="323" t="s">
        <v>447</v>
      </c>
      <c r="D88" s="323" t="s">
        <v>445</v>
      </c>
      <c r="E88" s="323" t="s">
        <v>480</v>
      </c>
      <c r="F88" s="324" t="s">
        <v>80</v>
      </c>
      <c r="G88" s="324"/>
      <c r="H88" s="324"/>
      <c r="I88" s="326">
        <f>I89+I90+I91+I92+I93+I95+I94</f>
        <v>8628600</v>
      </c>
      <c r="J88" s="326"/>
    </row>
    <row r="89" spans="1:10" ht="126.75" customHeight="1" x14ac:dyDescent="0.2">
      <c r="B89" s="381" t="s">
        <v>446</v>
      </c>
      <c r="C89" s="381" t="s">
        <v>447</v>
      </c>
      <c r="D89" s="381" t="s">
        <v>445</v>
      </c>
      <c r="E89" s="381" t="s">
        <v>480</v>
      </c>
      <c r="F89" s="382" t="s">
        <v>91</v>
      </c>
      <c r="G89" s="383"/>
      <c r="H89" s="383"/>
      <c r="I89" s="384">
        <f>(100000)+200000</f>
        <v>300000</v>
      </c>
      <c r="J89" s="384"/>
    </row>
    <row r="90" spans="1:10" ht="55.5" customHeight="1" x14ac:dyDescent="0.2">
      <c r="B90" s="381" t="s">
        <v>446</v>
      </c>
      <c r="C90" s="381" t="s">
        <v>447</v>
      </c>
      <c r="D90" s="381" t="s">
        <v>445</v>
      </c>
      <c r="E90" s="381" t="s">
        <v>480</v>
      </c>
      <c r="F90" s="382" t="s">
        <v>227</v>
      </c>
      <c r="G90" s="337" t="s">
        <v>816</v>
      </c>
      <c r="H90" s="383">
        <v>18370999</v>
      </c>
      <c r="I90" s="384">
        <v>2000000</v>
      </c>
      <c r="J90" s="343">
        <f>(300000+171778.77+I90)/H90</f>
        <v>0.13454786917140435</v>
      </c>
    </row>
    <row r="91" spans="1:10" ht="48.75" customHeight="1" x14ac:dyDescent="0.2">
      <c r="B91" s="381" t="s">
        <v>446</v>
      </c>
      <c r="C91" s="381" t="s">
        <v>447</v>
      </c>
      <c r="D91" s="381" t="s">
        <v>445</v>
      </c>
      <c r="E91" s="381" t="s">
        <v>480</v>
      </c>
      <c r="F91" s="382" t="s">
        <v>481</v>
      </c>
      <c r="G91" s="337" t="s">
        <v>816</v>
      </c>
      <c r="H91" s="383">
        <v>9392018</v>
      </c>
      <c r="I91" s="384">
        <v>2000000</v>
      </c>
      <c r="J91" s="343">
        <f>(24948+I91)/H91</f>
        <v>0.21560307912527424</v>
      </c>
    </row>
    <row r="92" spans="1:10" ht="60.75" customHeight="1" x14ac:dyDescent="0.2">
      <c r="B92" s="381" t="s">
        <v>446</v>
      </c>
      <c r="C92" s="381" t="s">
        <v>447</v>
      </c>
      <c r="D92" s="381" t="s">
        <v>445</v>
      </c>
      <c r="E92" s="381" t="s">
        <v>480</v>
      </c>
      <c r="F92" s="382" t="s">
        <v>482</v>
      </c>
      <c r="G92" s="324" t="s">
        <v>748</v>
      </c>
      <c r="H92" s="383">
        <v>3589039</v>
      </c>
      <c r="I92" s="384">
        <f>(1500000)+1888600</f>
        <v>3388600</v>
      </c>
      <c r="J92" s="343">
        <v>1</v>
      </c>
    </row>
    <row r="93" spans="1:10" ht="66" customHeight="1" x14ac:dyDescent="0.2">
      <c r="B93" s="381" t="s">
        <v>446</v>
      </c>
      <c r="C93" s="381" t="s">
        <v>447</v>
      </c>
      <c r="D93" s="381" t="s">
        <v>445</v>
      </c>
      <c r="E93" s="381" t="s">
        <v>480</v>
      </c>
      <c r="F93" s="382" t="s">
        <v>483</v>
      </c>
      <c r="G93" s="383"/>
      <c r="H93" s="383"/>
      <c r="I93" s="384">
        <v>100000</v>
      </c>
      <c r="J93" s="384"/>
    </row>
    <row r="94" spans="1:10" ht="66" customHeight="1" x14ac:dyDescent="0.2">
      <c r="B94" s="381" t="s">
        <v>446</v>
      </c>
      <c r="C94" s="381" t="s">
        <v>447</v>
      </c>
      <c r="D94" s="381" t="s">
        <v>445</v>
      </c>
      <c r="E94" s="381" t="s">
        <v>480</v>
      </c>
      <c r="F94" s="385" t="s">
        <v>829</v>
      </c>
      <c r="G94" s="383"/>
      <c r="H94" s="383"/>
      <c r="I94" s="384">
        <v>140000</v>
      </c>
      <c r="J94" s="384"/>
    </row>
    <row r="95" spans="1:10" ht="90" x14ac:dyDescent="0.2">
      <c r="B95" s="381" t="s">
        <v>446</v>
      </c>
      <c r="C95" s="381" t="s">
        <v>447</v>
      </c>
      <c r="D95" s="381" t="s">
        <v>445</v>
      </c>
      <c r="E95" s="381" t="s">
        <v>480</v>
      </c>
      <c r="F95" s="385" t="s">
        <v>909</v>
      </c>
      <c r="G95" s="383"/>
      <c r="H95" s="383"/>
      <c r="I95" s="384">
        <v>700000</v>
      </c>
      <c r="J95" s="386"/>
    </row>
    <row r="96" spans="1:10" ht="45" x14ac:dyDescent="0.2">
      <c r="B96" s="323" t="s">
        <v>841</v>
      </c>
      <c r="C96" s="323" t="s">
        <v>562</v>
      </c>
      <c r="D96" s="323" t="s">
        <v>251</v>
      </c>
      <c r="E96" s="323" t="s">
        <v>393</v>
      </c>
      <c r="F96" s="341" t="s">
        <v>2</v>
      </c>
      <c r="G96" s="324" t="s">
        <v>775</v>
      </c>
      <c r="H96" s="324">
        <v>181970000</v>
      </c>
      <c r="I96" s="380">
        <f>((4000000)-4000000+21460000+8818000)+7750000</f>
        <v>38028000</v>
      </c>
      <c r="J96" s="387">
        <f>(96444100-4000000+21460000+8818000+7750000)/H96</f>
        <v>0.71699785678958072</v>
      </c>
    </row>
    <row r="97" spans="2:10" ht="45" x14ac:dyDescent="0.2">
      <c r="B97" s="323" t="s">
        <v>429</v>
      </c>
      <c r="C97" s="323" t="s">
        <v>430</v>
      </c>
      <c r="D97" s="323" t="s">
        <v>432</v>
      </c>
      <c r="E97" s="323" t="s">
        <v>431</v>
      </c>
      <c r="F97" s="324" t="s">
        <v>90</v>
      </c>
      <c r="G97" s="324"/>
      <c r="H97" s="324"/>
      <c r="I97" s="380">
        <f>(82763108-570000)+3345786.63-250000+31-1000000-500000-372000</f>
        <v>83416925.629999995</v>
      </c>
      <c r="J97" s="380"/>
    </row>
    <row r="98" spans="2:10" ht="45" x14ac:dyDescent="0.2">
      <c r="B98" s="323" t="s">
        <v>950</v>
      </c>
      <c r="C98" s="323" t="s">
        <v>951</v>
      </c>
      <c r="D98" s="323" t="s">
        <v>432</v>
      </c>
      <c r="E98" s="323" t="s">
        <v>952</v>
      </c>
      <c r="F98" s="324" t="s">
        <v>90</v>
      </c>
      <c r="G98" s="324"/>
      <c r="H98" s="324"/>
      <c r="I98" s="380">
        <v>1400000</v>
      </c>
      <c r="J98" s="380"/>
    </row>
    <row r="99" spans="2:10" ht="15" x14ac:dyDescent="0.2">
      <c r="B99" s="323" t="s">
        <v>433</v>
      </c>
      <c r="C99" s="323" t="s">
        <v>312</v>
      </c>
      <c r="D99" s="323" t="s">
        <v>313</v>
      </c>
      <c r="E99" s="323" t="s">
        <v>67</v>
      </c>
      <c r="F99" s="324" t="s">
        <v>90</v>
      </c>
      <c r="G99" s="324"/>
      <c r="H99" s="324"/>
      <c r="I99" s="380">
        <f>(1000000+250000)-300000</f>
        <v>950000</v>
      </c>
      <c r="J99" s="380"/>
    </row>
    <row r="100" spans="2:10" ht="30" x14ac:dyDescent="0.2">
      <c r="B100" s="323" t="s">
        <v>450</v>
      </c>
      <c r="C100" s="323" t="s">
        <v>288</v>
      </c>
      <c r="D100" s="323" t="s">
        <v>251</v>
      </c>
      <c r="E100" s="323" t="s">
        <v>57</v>
      </c>
      <c r="F100" s="324" t="s">
        <v>80</v>
      </c>
      <c r="G100" s="324"/>
      <c r="H100" s="324"/>
      <c r="I100" s="380">
        <f>SUM(I101:I140)</f>
        <v>42277392.68</v>
      </c>
      <c r="J100" s="380"/>
    </row>
    <row r="101" spans="2:10" ht="90" x14ac:dyDescent="0.2">
      <c r="B101" s="381" t="s">
        <v>450</v>
      </c>
      <c r="C101" s="381" t="s">
        <v>288</v>
      </c>
      <c r="D101" s="381" t="s">
        <v>251</v>
      </c>
      <c r="E101" s="381" t="s">
        <v>57</v>
      </c>
      <c r="F101" s="388" t="s">
        <v>700</v>
      </c>
      <c r="G101" s="383"/>
      <c r="H101" s="383"/>
      <c r="I101" s="384">
        <v>1452515</v>
      </c>
      <c r="J101" s="380"/>
    </row>
    <row r="102" spans="2:10" ht="45" x14ac:dyDescent="0.2">
      <c r="B102" s="381" t="s">
        <v>450</v>
      </c>
      <c r="C102" s="381" t="s">
        <v>288</v>
      </c>
      <c r="D102" s="381" t="s">
        <v>251</v>
      </c>
      <c r="E102" s="381" t="s">
        <v>57</v>
      </c>
      <c r="F102" s="388" t="s">
        <v>737</v>
      </c>
      <c r="G102" s="383"/>
      <c r="H102" s="383"/>
      <c r="I102" s="384">
        <v>131700</v>
      </c>
      <c r="J102" s="380"/>
    </row>
    <row r="103" spans="2:10" ht="45" x14ac:dyDescent="0.2">
      <c r="B103" s="381" t="s">
        <v>450</v>
      </c>
      <c r="C103" s="381" t="s">
        <v>288</v>
      </c>
      <c r="D103" s="381" t="s">
        <v>251</v>
      </c>
      <c r="E103" s="381" t="s">
        <v>57</v>
      </c>
      <c r="F103" s="388" t="s">
        <v>613</v>
      </c>
      <c r="G103" s="383"/>
      <c r="H103" s="383"/>
      <c r="I103" s="384">
        <v>2000000</v>
      </c>
      <c r="J103" s="380"/>
    </row>
    <row r="104" spans="2:10" ht="150" x14ac:dyDescent="0.2">
      <c r="B104" s="381" t="s">
        <v>450</v>
      </c>
      <c r="C104" s="381" t="s">
        <v>288</v>
      </c>
      <c r="D104" s="381" t="s">
        <v>251</v>
      </c>
      <c r="E104" s="381" t="s">
        <v>57</v>
      </c>
      <c r="F104" s="389" t="s">
        <v>830</v>
      </c>
      <c r="G104" s="383"/>
      <c r="H104" s="383"/>
      <c r="I104" s="384">
        <v>419670</v>
      </c>
      <c r="J104" s="380"/>
    </row>
    <row r="105" spans="2:10" ht="150" x14ac:dyDescent="0.2">
      <c r="B105" s="381" t="s">
        <v>450</v>
      </c>
      <c r="C105" s="381" t="s">
        <v>288</v>
      </c>
      <c r="D105" s="381" t="s">
        <v>251</v>
      </c>
      <c r="E105" s="381" t="s">
        <v>57</v>
      </c>
      <c r="F105" s="389" t="s">
        <v>861</v>
      </c>
      <c r="G105" s="383"/>
      <c r="H105" s="383"/>
      <c r="I105" s="384">
        <v>538650</v>
      </c>
      <c r="J105" s="380"/>
    </row>
    <row r="106" spans="2:10" ht="120" x14ac:dyDescent="0.2">
      <c r="B106" s="381" t="s">
        <v>450</v>
      </c>
      <c r="C106" s="381" t="s">
        <v>288</v>
      </c>
      <c r="D106" s="381" t="s">
        <v>251</v>
      </c>
      <c r="E106" s="381" t="s">
        <v>57</v>
      </c>
      <c r="F106" s="389" t="s">
        <v>862</v>
      </c>
      <c r="G106" s="383"/>
      <c r="H106" s="383"/>
      <c r="I106" s="384">
        <v>54106</v>
      </c>
      <c r="J106" s="380"/>
    </row>
    <row r="107" spans="2:10" ht="90" x14ac:dyDescent="0.2">
      <c r="B107" s="381" t="s">
        <v>450</v>
      </c>
      <c r="C107" s="381" t="s">
        <v>288</v>
      </c>
      <c r="D107" s="381" t="s">
        <v>251</v>
      </c>
      <c r="E107" s="381" t="s">
        <v>57</v>
      </c>
      <c r="F107" s="389" t="s">
        <v>890</v>
      </c>
      <c r="G107" s="383"/>
      <c r="H107" s="383"/>
      <c r="I107" s="384">
        <v>775000</v>
      </c>
      <c r="J107" s="380"/>
    </row>
    <row r="108" spans="2:10" ht="45" x14ac:dyDescent="0.2">
      <c r="B108" s="381" t="s">
        <v>450</v>
      </c>
      <c r="C108" s="381" t="s">
        <v>288</v>
      </c>
      <c r="D108" s="381" t="s">
        <v>251</v>
      </c>
      <c r="E108" s="381" t="s">
        <v>57</v>
      </c>
      <c r="F108" s="389" t="s">
        <v>832</v>
      </c>
      <c r="G108" s="383"/>
      <c r="H108" s="383"/>
      <c r="I108" s="384">
        <v>4000000</v>
      </c>
      <c r="J108" s="380"/>
    </row>
    <row r="109" spans="2:10" ht="60" x14ac:dyDescent="0.2">
      <c r="B109" s="381" t="s">
        <v>450</v>
      </c>
      <c r="C109" s="381" t="s">
        <v>288</v>
      </c>
      <c r="D109" s="381" t="s">
        <v>251</v>
      </c>
      <c r="E109" s="381" t="s">
        <v>57</v>
      </c>
      <c r="F109" s="389" t="s">
        <v>963</v>
      </c>
      <c r="G109" s="383"/>
      <c r="H109" s="383"/>
      <c r="I109" s="384">
        <v>262200</v>
      </c>
      <c r="J109" s="380"/>
    </row>
    <row r="110" spans="2:10" ht="90" x14ac:dyDescent="0.2">
      <c r="B110" s="381" t="s">
        <v>450</v>
      </c>
      <c r="C110" s="381" t="s">
        <v>288</v>
      </c>
      <c r="D110" s="381" t="s">
        <v>251</v>
      </c>
      <c r="E110" s="381" t="s">
        <v>57</v>
      </c>
      <c r="F110" s="389" t="s">
        <v>902</v>
      </c>
      <c r="G110" s="383"/>
      <c r="H110" s="383"/>
      <c r="I110" s="384">
        <v>180000</v>
      </c>
      <c r="J110" s="380"/>
    </row>
    <row r="111" spans="2:10" ht="60" x14ac:dyDescent="0.2">
      <c r="B111" s="381" t="s">
        <v>450</v>
      </c>
      <c r="C111" s="381" t="s">
        <v>288</v>
      </c>
      <c r="D111" s="381" t="s">
        <v>251</v>
      </c>
      <c r="E111" s="381" t="s">
        <v>57</v>
      </c>
      <c r="F111" s="389" t="s">
        <v>913</v>
      </c>
      <c r="G111" s="383"/>
      <c r="H111" s="383"/>
      <c r="I111" s="384">
        <f>72000</f>
        <v>72000</v>
      </c>
      <c r="J111" s="380"/>
    </row>
    <row r="112" spans="2:10" ht="60" x14ac:dyDescent="0.2">
      <c r="B112" s="381" t="s">
        <v>450</v>
      </c>
      <c r="C112" s="381" t="s">
        <v>288</v>
      </c>
      <c r="D112" s="381" t="s">
        <v>251</v>
      </c>
      <c r="E112" s="381" t="s">
        <v>57</v>
      </c>
      <c r="F112" s="388" t="s">
        <v>835</v>
      </c>
      <c r="G112" s="383"/>
      <c r="H112" s="383"/>
      <c r="I112" s="384">
        <v>65700</v>
      </c>
      <c r="J112" s="380"/>
    </row>
    <row r="113" spans="2:10" ht="45" x14ac:dyDescent="0.2">
      <c r="B113" s="381" t="s">
        <v>450</v>
      </c>
      <c r="C113" s="381" t="s">
        <v>288</v>
      </c>
      <c r="D113" s="381" t="s">
        <v>251</v>
      </c>
      <c r="E113" s="381" t="s">
        <v>57</v>
      </c>
      <c r="F113" s="388" t="s">
        <v>836</v>
      </c>
      <c r="G113" s="383"/>
      <c r="H113" s="383"/>
      <c r="I113" s="384">
        <v>557370</v>
      </c>
      <c r="J113" s="380"/>
    </row>
    <row r="114" spans="2:10" ht="120" x14ac:dyDescent="0.2">
      <c r="B114" s="381" t="s">
        <v>450</v>
      </c>
      <c r="C114" s="381" t="s">
        <v>288</v>
      </c>
      <c r="D114" s="381" t="s">
        <v>251</v>
      </c>
      <c r="E114" s="381" t="s">
        <v>57</v>
      </c>
      <c r="F114" s="388" t="s">
        <v>892</v>
      </c>
      <c r="G114" s="383"/>
      <c r="H114" s="383"/>
      <c r="I114" s="384">
        <v>400000</v>
      </c>
      <c r="J114" s="380"/>
    </row>
    <row r="115" spans="2:10" ht="135" x14ac:dyDescent="0.2">
      <c r="B115" s="381" t="s">
        <v>450</v>
      </c>
      <c r="C115" s="381" t="s">
        <v>288</v>
      </c>
      <c r="D115" s="381" t="s">
        <v>251</v>
      </c>
      <c r="E115" s="381" t="s">
        <v>57</v>
      </c>
      <c r="F115" s="388" t="s">
        <v>903</v>
      </c>
      <c r="G115" s="383"/>
      <c r="H115" s="383"/>
      <c r="I115" s="384">
        <v>106774</v>
      </c>
      <c r="J115" s="380"/>
    </row>
    <row r="116" spans="2:10" ht="180" x14ac:dyDescent="0.2">
      <c r="B116" s="381" t="s">
        <v>450</v>
      </c>
      <c r="C116" s="381" t="s">
        <v>288</v>
      </c>
      <c r="D116" s="381" t="s">
        <v>251</v>
      </c>
      <c r="E116" s="381" t="s">
        <v>57</v>
      </c>
      <c r="F116" s="388" t="s">
        <v>838</v>
      </c>
      <c r="G116" s="383"/>
      <c r="H116" s="383"/>
      <c r="I116" s="384">
        <v>105773</v>
      </c>
      <c r="J116" s="380"/>
    </row>
    <row r="117" spans="2:10" ht="120" x14ac:dyDescent="0.2">
      <c r="B117" s="381" t="s">
        <v>450</v>
      </c>
      <c r="C117" s="381" t="s">
        <v>288</v>
      </c>
      <c r="D117" s="381" t="s">
        <v>251</v>
      </c>
      <c r="E117" s="381" t="s">
        <v>57</v>
      </c>
      <c r="F117" s="388" t="s">
        <v>912</v>
      </c>
      <c r="G117" s="383"/>
      <c r="H117" s="383"/>
      <c r="I117" s="384">
        <f>250000+300000</f>
        <v>550000</v>
      </c>
      <c r="J117" s="380"/>
    </row>
    <row r="118" spans="2:10" ht="90" x14ac:dyDescent="0.2">
      <c r="B118" s="381" t="s">
        <v>450</v>
      </c>
      <c r="C118" s="381" t="s">
        <v>288</v>
      </c>
      <c r="D118" s="381" t="s">
        <v>251</v>
      </c>
      <c r="E118" s="381" t="s">
        <v>57</v>
      </c>
      <c r="F118" s="389" t="s">
        <v>904</v>
      </c>
      <c r="G118" s="383"/>
      <c r="H118" s="383"/>
      <c r="I118" s="384">
        <v>4000000</v>
      </c>
      <c r="J118" s="380"/>
    </row>
    <row r="119" spans="2:10" ht="105" x14ac:dyDescent="0.2">
      <c r="B119" s="381" t="s">
        <v>450</v>
      </c>
      <c r="C119" s="381" t="s">
        <v>288</v>
      </c>
      <c r="D119" s="381" t="s">
        <v>251</v>
      </c>
      <c r="E119" s="381" t="s">
        <v>57</v>
      </c>
      <c r="F119" s="389" t="s">
        <v>905</v>
      </c>
      <c r="G119" s="383"/>
      <c r="H119" s="383"/>
      <c r="I119" s="384">
        <v>3200000</v>
      </c>
      <c r="J119" s="380"/>
    </row>
    <row r="120" spans="2:10" ht="90" x14ac:dyDescent="0.2">
      <c r="B120" s="381" t="s">
        <v>450</v>
      </c>
      <c r="C120" s="381" t="s">
        <v>288</v>
      </c>
      <c r="D120" s="381" t="s">
        <v>251</v>
      </c>
      <c r="E120" s="381" t="s">
        <v>57</v>
      </c>
      <c r="F120" s="389" t="s">
        <v>837</v>
      </c>
      <c r="G120" s="383"/>
      <c r="H120" s="383"/>
      <c r="I120" s="384">
        <v>2000000</v>
      </c>
      <c r="J120" s="380"/>
    </row>
    <row r="121" spans="2:10" ht="90" x14ac:dyDescent="0.2">
      <c r="B121" s="381" t="s">
        <v>450</v>
      </c>
      <c r="C121" s="381" t="s">
        <v>288</v>
      </c>
      <c r="D121" s="381" t="s">
        <v>251</v>
      </c>
      <c r="E121" s="381" t="s">
        <v>57</v>
      </c>
      <c r="F121" s="388" t="s">
        <v>911</v>
      </c>
      <c r="G121" s="383"/>
      <c r="H121" s="383"/>
      <c r="I121" s="384">
        <f>(3565000)+8475200</f>
        <v>12040200</v>
      </c>
      <c r="J121" s="380"/>
    </row>
    <row r="122" spans="2:10" ht="90" x14ac:dyDescent="0.2">
      <c r="B122" s="381" t="s">
        <v>450</v>
      </c>
      <c r="C122" s="381" t="s">
        <v>288</v>
      </c>
      <c r="D122" s="381" t="s">
        <v>251</v>
      </c>
      <c r="E122" s="381" t="s">
        <v>57</v>
      </c>
      <c r="F122" s="388" t="s">
        <v>971</v>
      </c>
      <c r="G122" s="383"/>
      <c r="H122" s="383"/>
      <c r="I122" s="384">
        <v>500000</v>
      </c>
      <c r="J122" s="380"/>
    </row>
    <row r="123" spans="2:10" ht="135" x14ac:dyDescent="0.2">
      <c r="B123" s="381" t="s">
        <v>450</v>
      </c>
      <c r="C123" s="381" t="s">
        <v>288</v>
      </c>
      <c r="D123" s="381" t="s">
        <v>251</v>
      </c>
      <c r="E123" s="381" t="s">
        <v>57</v>
      </c>
      <c r="F123" s="388" t="s">
        <v>701</v>
      </c>
      <c r="G123" s="383"/>
      <c r="H123" s="383"/>
      <c r="I123" s="384">
        <f>(300000)+388000</f>
        <v>688000</v>
      </c>
      <c r="J123" s="380"/>
    </row>
    <row r="124" spans="2:10" ht="120" x14ac:dyDescent="0.2">
      <c r="B124" s="381" t="s">
        <v>450</v>
      </c>
      <c r="C124" s="381" t="s">
        <v>288</v>
      </c>
      <c r="D124" s="381" t="s">
        <v>251</v>
      </c>
      <c r="E124" s="381" t="s">
        <v>57</v>
      </c>
      <c r="F124" s="388" t="s">
        <v>745</v>
      </c>
      <c r="G124" s="383"/>
      <c r="H124" s="383"/>
      <c r="I124" s="384">
        <v>400000</v>
      </c>
      <c r="J124" s="380"/>
    </row>
    <row r="125" spans="2:10" ht="120" x14ac:dyDescent="0.2">
      <c r="B125" s="381" t="s">
        <v>450</v>
      </c>
      <c r="C125" s="381" t="s">
        <v>288</v>
      </c>
      <c r="D125" s="381" t="s">
        <v>251</v>
      </c>
      <c r="E125" s="381" t="s">
        <v>57</v>
      </c>
      <c r="F125" s="388" t="s">
        <v>746</v>
      </c>
      <c r="G125" s="383"/>
      <c r="H125" s="383"/>
      <c r="I125" s="384">
        <v>265200</v>
      </c>
      <c r="J125" s="380"/>
    </row>
    <row r="126" spans="2:10" ht="105" x14ac:dyDescent="0.2">
      <c r="B126" s="381" t="s">
        <v>450</v>
      </c>
      <c r="C126" s="381" t="s">
        <v>288</v>
      </c>
      <c r="D126" s="381" t="s">
        <v>251</v>
      </c>
      <c r="E126" s="381" t="s">
        <v>57</v>
      </c>
      <c r="F126" s="389" t="s">
        <v>906</v>
      </c>
      <c r="G126" s="383"/>
      <c r="H126" s="383"/>
      <c r="I126" s="384">
        <v>764842</v>
      </c>
      <c r="J126" s="380"/>
    </row>
    <row r="127" spans="2:10" ht="90" x14ac:dyDescent="0.2">
      <c r="B127" s="381" t="s">
        <v>450</v>
      </c>
      <c r="C127" s="381" t="s">
        <v>288</v>
      </c>
      <c r="D127" s="381" t="s">
        <v>251</v>
      </c>
      <c r="E127" s="381" t="s">
        <v>57</v>
      </c>
      <c r="F127" s="389" t="s">
        <v>910</v>
      </c>
      <c r="G127" s="383"/>
      <c r="H127" s="383"/>
      <c r="I127" s="384">
        <v>920000</v>
      </c>
      <c r="J127" s="380"/>
    </row>
    <row r="128" spans="2:10" ht="75" x14ac:dyDescent="0.2">
      <c r="B128" s="381" t="s">
        <v>450</v>
      </c>
      <c r="C128" s="381" t="s">
        <v>288</v>
      </c>
      <c r="D128" s="381" t="s">
        <v>251</v>
      </c>
      <c r="E128" s="381" t="s">
        <v>57</v>
      </c>
      <c r="F128" s="389" t="s">
        <v>844</v>
      </c>
      <c r="G128" s="383"/>
      <c r="H128" s="383"/>
      <c r="I128" s="384">
        <v>500000</v>
      </c>
      <c r="J128" s="380"/>
    </row>
    <row r="129" spans="1:10" ht="135" x14ac:dyDescent="0.2">
      <c r="B129" s="381" t="s">
        <v>450</v>
      </c>
      <c r="C129" s="381" t="s">
        <v>288</v>
      </c>
      <c r="D129" s="381" t="s">
        <v>251</v>
      </c>
      <c r="E129" s="381" t="s">
        <v>57</v>
      </c>
      <c r="F129" s="389" t="s">
        <v>843</v>
      </c>
      <c r="G129" s="383"/>
      <c r="H129" s="383"/>
      <c r="I129" s="384">
        <v>2500000</v>
      </c>
      <c r="J129" s="380"/>
    </row>
    <row r="130" spans="1:10" ht="90" x14ac:dyDescent="0.2">
      <c r="B130" s="381" t="s">
        <v>450</v>
      </c>
      <c r="C130" s="381" t="s">
        <v>288</v>
      </c>
      <c r="D130" s="381" t="s">
        <v>251</v>
      </c>
      <c r="E130" s="381" t="s">
        <v>57</v>
      </c>
      <c r="F130" s="389" t="s">
        <v>923</v>
      </c>
      <c r="G130" s="383"/>
      <c r="H130" s="383"/>
      <c r="I130" s="384">
        <v>310000</v>
      </c>
      <c r="J130" s="380"/>
    </row>
    <row r="131" spans="1:10" ht="105" x14ac:dyDescent="0.2">
      <c r="B131" s="381" t="s">
        <v>450</v>
      </c>
      <c r="C131" s="381" t="s">
        <v>288</v>
      </c>
      <c r="D131" s="381" t="s">
        <v>251</v>
      </c>
      <c r="E131" s="381" t="s">
        <v>57</v>
      </c>
      <c r="F131" s="389" t="s">
        <v>875</v>
      </c>
      <c r="G131" s="383"/>
      <c r="H131" s="383"/>
      <c r="I131" s="384">
        <v>92967</v>
      </c>
      <c r="J131" s="380"/>
    </row>
    <row r="132" spans="1:10" ht="90" x14ac:dyDescent="0.2">
      <c r="B132" s="381" t="s">
        <v>450</v>
      </c>
      <c r="C132" s="381" t="s">
        <v>288</v>
      </c>
      <c r="D132" s="381" t="s">
        <v>251</v>
      </c>
      <c r="E132" s="381" t="s">
        <v>57</v>
      </c>
      <c r="F132" s="389" t="s">
        <v>842</v>
      </c>
      <c r="G132" s="383"/>
      <c r="H132" s="383"/>
      <c r="I132" s="384">
        <v>395000</v>
      </c>
      <c r="J132" s="380"/>
    </row>
    <row r="133" spans="1:10" ht="90" x14ac:dyDescent="0.2">
      <c r="B133" s="381" t="s">
        <v>450</v>
      </c>
      <c r="C133" s="381" t="s">
        <v>288</v>
      </c>
      <c r="D133" s="381" t="s">
        <v>251</v>
      </c>
      <c r="E133" s="381" t="s">
        <v>57</v>
      </c>
      <c r="F133" s="389" t="s">
        <v>964</v>
      </c>
      <c r="G133" s="383"/>
      <c r="H133" s="383"/>
      <c r="I133" s="384">
        <v>50000</v>
      </c>
      <c r="J133" s="380"/>
    </row>
    <row r="134" spans="1:10" ht="105" x14ac:dyDescent="0.2">
      <c r="B134" s="381" t="s">
        <v>450</v>
      </c>
      <c r="C134" s="381" t="s">
        <v>288</v>
      </c>
      <c r="D134" s="381" t="s">
        <v>251</v>
      </c>
      <c r="E134" s="381" t="s">
        <v>57</v>
      </c>
      <c r="F134" s="390" t="s">
        <v>973</v>
      </c>
      <c r="G134" s="383"/>
      <c r="H134" s="383"/>
      <c r="I134" s="384">
        <v>55000</v>
      </c>
      <c r="J134" s="380"/>
    </row>
    <row r="135" spans="1:10" ht="75" x14ac:dyDescent="0.2">
      <c r="B135" s="381" t="s">
        <v>450</v>
      </c>
      <c r="C135" s="381" t="s">
        <v>288</v>
      </c>
      <c r="D135" s="381" t="s">
        <v>251</v>
      </c>
      <c r="E135" s="381" t="s">
        <v>57</v>
      </c>
      <c r="F135" s="390" t="s">
        <v>965</v>
      </c>
      <c r="G135" s="383"/>
      <c r="H135" s="383"/>
      <c r="I135" s="384">
        <v>469200</v>
      </c>
      <c r="J135" s="380"/>
    </row>
    <row r="136" spans="1:10" ht="90" x14ac:dyDescent="0.2">
      <c r="B136" s="381" t="s">
        <v>450</v>
      </c>
      <c r="C136" s="381" t="s">
        <v>288</v>
      </c>
      <c r="D136" s="381" t="s">
        <v>251</v>
      </c>
      <c r="E136" s="381" t="s">
        <v>57</v>
      </c>
      <c r="F136" s="390" t="s">
        <v>833</v>
      </c>
      <c r="G136" s="383"/>
      <c r="H136" s="383"/>
      <c r="I136" s="384">
        <v>289003</v>
      </c>
      <c r="J136" s="380"/>
    </row>
    <row r="137" spans="1:10" ht="90" x14ac:dyDescent="0.2">
      <c r="B137" s="381" t="s">
        <v>450</v>
      </c>
      <c r="C137" s="381" t="s">
        <v>288</v>
      </c>
      <c r="D137" s="381" t="s">
        <v>251</v>
      </c>
      <c r="E137" s="381" t="s">
        <v>57</v>
      </c>
      <c r="F137" s="390" t="s">
        <v>834</v>
      </c>
      <c r="G137" s="383"/>
      <c r="H137" s="383"/>
      <c r="I137" s="384">
        <v>275194</v>
      </c>
      <c r="J137" s="380"/>
    </row>
    <row r="138" spans="1:10" ht="75" x14ac:dyDescent="0.2">
      <c r="B138" s="381" t="s">
        <v>450</v>
      </c>
      <c r="C138" s="381" t="s">
        <v>288</v>
      </c>
      <c r="D138" s="381" t="s">
        <v>251</v>
      </c>
      <c r="E138" s="381" t="s">
        <v>57</v>
      </c>
      <c r="F138" s="390" t="s">
        <v>921</v>
      </c>
      <c r="G138" s="383" t="s">
        <v>776</v>
      </c>
      <c r="H138" s="383">
        <v>4997108</v>
      </c>
      <c r="I138" s="384">
        <v>500000</v>
      </c>
      <c r="J138" s="386">
        <v>1</v>
      </c>
    </row>
    <row r="139" spans="1:10" ht="150" x14ac:dyDescent="0.2">
      <c r="A139" s="136"/>
      <c r="B139" s="381" t="s">
        <v>450</v>
      </c>
      <c r="C139" s="381" t="s">
        <v>288</v>
      </c>
      <c r="D139" s="381" t="s">
        <v>251</v>
      </c>
      <c r="E139" s="381" t="s">
        <v>57</v>
      </c>
      <c r="F139" s="382" t="s">
        <v>922</v>
      </c>
      <c r="G139" s="383" t="s">
        <v>776</v>
      </c>
      <c r="H139" s="383">
        <f>3200000+3385670</f>
        <v>6585670</v>
      </c>
      <c r="I139" s="384">
        <v>91328.68</v>
      </c>
      <c r="J139" s="386">
        <v>1</v>
      </c>
    </row>
    <row r="140" spans="1:10" ht="142.5" customHeight="1" x14ac:dyDescent="0.2">
      <c r="A140" s="136"/>
      <c r="B140" s="381" t="s">
        <v>450</v>
      </c>
      <c r="C140" s="381" t="s">
        <v>288</v>
      </c>
      <c r="D140" s="381" t="s">
        <v>251</v>
      </c>
      <c r="E140" s="381" t="s">
        <v>57</v>
      </c>
      <c r="F140" s="382" t="s">
        <v>928</v>
      </c>
      <c r="G140" s="383"/>
      <c r="H140" s="391">
        <v>1260727</v>
      </c>
      <c r="I140" s="392">
        <v>300000</v>
      </c>
      <c r="J140" s="387">
        <f>(I140)/H140</f>
        <v>0.23795794014088698</v>
      </c>
    </row>
    <row r="141" spans="1:10" ht="75" x14ac:dyDescent="0.2">
      <c r="B141" s="352" t="s">
        <v>44</v>
      </c>
      <c r="C141" s="319"/>
      <c r="D141" s="319"/>
      <c r="E141" s="321" t="s">
        <v>625</v>
      </c>
      <c r="F141" s="319"/>
      <c r="G141" s="319"/>
      <c r="H141" s="319"/>
      <c r="I141" s="319">
        <f>I142</f>
        <v>112071080</v>
      </c>
      <c r="J141" s="319"/>
    </row>
    <row r="142" spans="1:10" ht="85.7" customHeight="1" x14ac:dyDescent="0.2">
      <c r="A142" s="240"/>
      <c r="B142" s="353" t="s">
        <v>45</v>
      </c>
      <c r="C142" s="320"/>
      <c r="D142" s="320"/>
      <c r="E142" s="320" t="s">
        <v>624</v>
      </c>
      <c r="F142" s="320"/>
      <c r="G142" s="320"/>
      <c r="H142" s="320"/>
      <c r="I142" s="320">
        <f>SUM(I143:I163)</f>
        <v>112071080</v>
      </c>
      <c r="J142" s="320"/>
    </row>
    <row r="143" spans="1:10" ht="60" x14ac:dyDescent="0.2">
      <c r="A143" s="240"/>
      <c r="B143" s="323" t="s">
        <v>720</v>
      </c>
      <c r="C143" s="323" t="s">
        <v>336</v>
      </c>
      <c r="D143" s="323" t="s">
        <v>334</v>
      </c>
      <c r="E143" s="323" t="s">
        <v>335</v>
      </c>
      <c r="F143" s="324" t="s">
        <v>90</v>
      </c>
      <c r="G143" s="415"/>
      <c r="H143" s="415"/>
      <c r="I143" s="380">
        <f>(10400)+7480</f>
        <v>17880</v>
      </c>
      <c r="J143" s="415"/>
    </row>
    <row r="144" spans="1:10" ht="90" x14ac:dyDescent="0.2">
      <c r="A144" s="240"/>
      <c r="B144" s="395" t="s">
        <v>819</v>
      </c>
      <c r="C144" s="395" t="s">
        <v>821</v>
      </c>
      <c r="D144" s="395" t="s">
        <v>286</v>
      </c>
      <c r="E144" s="395" t="s">
        <v>820</v>
      </c>
      <c r="F144" s="396" t="s">
        <v>610</v>
      </c>
      <c r="G144" s="397" t="s">
        <v>779</v>
      </c>
      <c r="H144" s="397">
        <f>282861499</f>
        <v>282861499</v>
      </c>
      <c r="I144" s="397">
        <f>(4500000)+4000000+19787000-12500000+27000000</f>
        <v>42787000</v>
      </c>
      <c r="J144" s="398">
        <f>(7688.93+54000000+1828602.38+4500000+4000000+19787000+27000000-12500000)/H144</f>
        <v>0.34866283201730469</v>
      </c>
    </row>
    <row r="145" spans="1:11" ht="75" x14ac:dyDescent="0.2">
      <c r="A145" s="394"/>
      <c r="B145" s="401" t="s">
        <v>464</v>
      </c>
      <c r="C145" s="401" t="s">
        <v>465</v>
      </c>
      <c r="D145" s="401" t="s">
        <v>445</v>
      </c>
      <c r="E145" s="401" t="s">
        <v>463</v>
      </c>
      <c r="F145" s="402" t="s">
        <v>3</v>
      </c>
      <c r="G145" s="403" t="s">
        <v>776</v>
      </c>
      <c r="H145" s="403">
        <v>30010059</v>
      </c>
      <c r="I145" s="403">
        <f>(3500000)+2000000-2600000+1000000+1500000</f>
        <v>5400000</v>
      </c>
      <c r="J145" s="404">
        <f>(2087700+4693311.43+3500000+2000000-2600000+1200000+1500000)/H145</f>
        <v>0.41256204894498871</v>
      </c>
      <c r="K145" s="114"/>
    </row>
    <row r="146" spans="1:11" ht="75" x14ac:dyDescent="0.2">
      <c r="A146" s="394"/>
      <c r="B146" s="395" t="s">
        <v>464</v>
      </c>
      <c r="C146" s="395" t="s">
        <v>465</v>
      </c>
      <c r="D146" s="395" t="s">
        <v>445</v>
      </c>
      <c r="E146" s="395" t="s">
        <v>463</v>
      </c>
      <c r="F146" s="399" t="s">
        <v>609</v>
      </c>
      <c r="G146" s="400" t="s">
        <v>778</v>
      </c>
      <c r="H146" s="400">
        <f>30737344</f>
        <v>30737344</v>
      </c>
      <c r="I146" s="403">
        <f>4000000+1200000+500000</f>
        <v>5700000</v>
      </c>
      <c r="J146" s="404">
        <f>(4471266+6488967.58+4000000+1200000+500000)/H146</f>
        <v>0.54201929678764693</v>
      </c>
      <c r="K146" s="114"/>
    </row>
    <row r="147" spans="1:11" ht="90" x14ac:dyDescent="0.2">
      <c r="A147" s="394"/>
      <c r="B147" s="395" t="s">
        <v>464</v>
      </c>
      <c r="C147" s="395" t="s">
        <v>465</v>
      </c>
      <c r="D147" s="395" t="s">
        <v>445</v>
      </c>
      <c r="E147" s="395" t="s">
        <v>463</v>
      </c>
      <c r="F147" s="399" t="s">
        <v>626</v>
      </c>
      <c r="G147" s="397" t="s">
        <v>779</v>
      </c>
      <c r="H147" s="397">
        <f>9300000+10829899</f>
        <v>20129899</v>
      </c>
      <c r="I147" s="405">
        <f>(1500000)+1000000+900000</f>
        <v>3400000</v>
      </c>
      <c r="J147" s="406">
        <f>(300094.58+1500000+1000000+900000)/H147</f>
        <v>0.1838108864828383</v>
      </c>
      <c r="K147" s="114"/>
    </row>
    <row r="148" spans="1:11" ht="105" x14ac:dyDescent="0.2">
      <c r="A148" s="394"/>
      <c r="B148" s="395" t="s">
        <v>464</v>
      </c>
      <c r="C148" s="395" t="s">
        <v>465</v>
      </c>
      <c r="D148" s="395" t="s">
        <v>445</v>
      </c>
      <c r="E148" s="395" t="s">
        <v>463</v>
      </c>
      <c r="F148" s="399" t="s">
        <v>630</v>
      </c>
      <c r="G148" s="397" t="s">
        <v>776</v>
      </c>
      <c r="H148" s="397">
        <f>8700000+6796500</f>
        <v>15496500</v>
      </c>
      <c r="I148" s="405">
        <f>4000000+1200000+2500000</f>
        <v>7700000</v>
      </c>
      <c r="J148" s="406">
        <f>(938042.78+4000000+1200000+2500000)/H148</f>
        <v>0.5574189513761173</v>
      </c>
      <c r="K148" s="114"/>
    </row>
    <row r="149" spans="1:11" ht="90" x14ac:dyDescent="0.2">
      <c r="A149" s="394"/>
      <c r="B149" s="395" t="s">
        <v>464</v>
      </c>
      <c r="C149" s="395" t="s">
        <v>465</v>
      </c>
      <c r="D149" s="395" t="s">
        <v>445</v>
      </c>
      <c r="E149" s="395" t="s">
        <v>463</v>
      </c>
      <c r="F149" s="407" t="s">
        <v>822</v>
      </c>
      <c r="G149" s="397" t="s">
        <v>776</v>
      </c>
      <c r="H149" s="400">
        <v>8518729</v>
      </c>
      <c r="I149" s="405">
        <f>1700000</f>
        <v>1700000</v>
      </c>
      <c r="J149" s="406">
        <f>7681053.3/H149</f>
        <v>0.90166658664690469</v>
      </c>
      <c r="K149" s="114"/>
    </row>
    <row r="150" spans="1:11" ht="75" x14ac:dyDescent="0.2">
      <c r="A150" s="394"/>
      <c r="B150" s="395" t="s">
        <v>466</v>
      </c>
      <c r="C150" s="395" t="s">
        <v>467</v>
      </c>
      <c r="D150" s="395" t="s">
        <v>445</v>
      </c>
      <c r="E150" s="395" t="s">
        <v>468</v>
      </c>
      <c r="F150" s="408" t="s">
        <v>823</v>
      </c>
      <c r="G150" s="397" t="s">
        <v>889</v>
      </c>
      <c r="H150" s="400">
        <v>372599546</v>
      </c>
      <c r="I150" s="400">
        <f>900000-900000+450000</f>
        <v>450000</v>
      </c>
      <c r="J150" s="406">
        <f>(503989.26+900000-900000+450000)/H150</f>
        <v>2.5603607686628797E-3</v>
      </c>
      <c r="K150" s="114"/>
    </row>
    <row r="151" spans="1:11" ht="75" x14ac:dyDescent="0.2">
      <c r="A151" s="394"/>
      <c r="B151" s="395" t="s">
        <v>466</v>
      </c>
      <c r="C151" s="395" t="s">
        <v>467</v>
      </c>
      <c r="D151" s="395" t="s">
        <v>445</v>
      </c>
      <c r="E151" s="395" t="s">
        <v>468</v>
      </c>
      <c r="F151" s="399" t="s">
        <v>824</v>
      </c>
      <c r="G151" s="397" t="s">
        <v>889</v>
      </c>
      <c r="H151" s="397">
        <v>104706686</v>
      </c>
      <c r="I151" s="405">
        <v>500000</v>
      </c>
      <c r="J151" s="406">
        <f>(730683.68+500000)/H151</f>
        <v>1.1753630326911504E-2</v>
      </c>
      <c r="K151" s="114"/>
    </row>
    <row r="152" spans="1:11" ht="90" x14ac:dyDescent="0.2">
      <c r="A152" s="394"/>
      <c r="B152" s="395" t="s">
        <v>469</v>
      </c>
      <c r="C152" s="395" t="s">
        <v>470</v>
      </c>
      <c r="D152" s="395" t="s">
        <v>445</v>
      </c>
      <c r="E152" s="395" t="s">
        <v>826</v>
      </c>
      <c r="F152" s="399" t="s">
        <v>616</v>
      </c>
      <c r="G152" s="400" t="s">
        <v>780</v>
      </c>
      <c r="H152" s="400">
        <f>(16874496)+1019604</f>
        <v>17894100</v>
      </c>
      <c r="I152" s="403">
        <v>2000000</v>
      </c>
      <c r="J152" s="404">
        <f>(7993500+6993235.68+2000000)/H152</f>
        <v>0.94929254223459125</v>
      </c>
      <c r="K152" s="114"/>
    </row>
    <row r="153" spans="1:11" ht="45" x14ac:dyDescent="0.2">
      <c r="A153" s="394"/>
      <c r="B153" s="395" t="s">
        <v>469</v>
      </c>
      <c r="C153" s="395" t="s">
        <v>470</v>
      </c>
      <c r="D153" s="395" t="s">
        <v>445</v>
      </c>
      <c r="E153" s="395" t="s">
        <v>826</v>
      </c>
      <c r="F153" s="399" t="s">
        <v>611</v>
      </c>
      <c r="G153" s="400" t="s">
        <v>776</v>
      </c>
      <c r="H153" s="400">
        <v>32296985</v>
      </c>
      <c r="I153" s="403">
        <f>5000000+5500000</f>
        <v>10500000</v>
      </c>
      <c r="J153" s="404">
        <f>(209619.53+7983885.65+5000000+5500000)/H153</f>
        <v>0.57880031773863716</v>
      </c>
      <c r="K153" s="114"/>
    </row>
    <row r="154" spans="1:11" ht="105" x14ac:dyDescent="0.2">
      <c r="A154" s="394"/>
      <c r="B154" s="395" t="s">
        <v>469</v>
      </c>
      <c r="C154" s="395" t="s">
        <v>470</v>
      </c>
      <c r="D154" s="395" t="s">
        <v>445</v>
      </c>
      <c r="E154" s="395" t="s">
        <v>826</v>
      </c>
      <c r="F154" s="399" t="s">
        <v>612</v>
      </c>
      <c r="G154" s="400" t="s">
        <v>776</v>
      </c>
      <c r="H154" s="400">
        <v>10111100</v>
      </c>
      <c r="I154" s="403">
        <f>(2000000)+1467500-1000000</f>
        <v>2467500</v>
      </c>
      <c r="J154" s="404">
        <f>(2190500+2453085.2+2000000+1467500-1000000)/H154</f>
        <v>0.70329491351089402</v>
      </c>
      <c r="K154" s="114"/>
    </row>
    <row r="155" spans="1:11" ht="45" x14ac:dyDescent="0.2">
      <c r="A155" s="394"/>
      <c r="B155" s="395" t="s">
        <v>469</v>
      </c>
      <c r="C155" s="395" t="s">
        <v>470</v>
      </c>
      <c r="D155" s="395" t="s">
        <v>445</v>
      </c>
      <c r="E155" s="395" t="s">
        <v>826</v>
      </c>
      <c r="F155" s="409" t="s">
        <v>927</v>
      </c>
      <c r="G155" s="397" t="s">
        <v>781</v>
      </c>
      <c r="H155" s="400">
        <v>15977719</v>
      </c>
      <c r="I155" s="403">
        <f>2000000-1000000+1000000</f>
        <v>2000000</v>
      </c>
      <c r="J155" s="404">
        <f>(1286200+939873.25+2000000-1000000+1000000)/H155</f>
        <v>0.26449790799299949</v>
      </c>
      <c r="K155" s="114"/>
    </row>
    <row r="156" spans="1:11" ht="90" x14ac:dyDescent="0.2">
      <c r="A156" s="394"/>
      <c r="B156" s="395" t="s">
        <v>469</v>
      </c>
      <c r="C156" s="395" t="s">
        <v>470</v>
      </c>
      <c r="D156" s="395" t="s">
        <v>445</v>
      </c>
      <c r="E156" s="395" t="s">
        <v>826</v>
      </c>
      <c r="F156" s="399" t="s">
        <v>617</v>
      </c>
      <c r="G156" s="400"/>
      <c r="H156" s="410"/>
      <c r="I156" s="403">
        <f>100000-100000</f>
        <v>0</v>
      </c>
      <c r="J156" s="404"/>
      <c r="K156" s="114"/>
    </row>
    <row r="157" spans="1:11" ht="75" x14ac:dyDescent="0.2">
      <c r="A157" s="394"/>
      <c r="B157" s="395" t="s">
        <v>469</v>
      </c>
      <c r="C157" s="395" t="s">
        <v>470</v>
      </c>
      <c r="D157" s="395" t="s">
        <v>445</v>
      </c>
      <c r="E157" s="395" t="s">
        <v>826</v>
      </c>
      <c r="F157" s="399" t="s">
        <v>619</v>
      </c>
      <c r="G157" s="400"/>
      <c r="H157" s="410"/>
      <c r="I157" s="403">
        <f>100000-100000</f>
        <v>0</v>
      </c>
      <c r="J157" s="404"/>
      <c r="K157" s="114"/>
    </row>
    <row r="158" spans="1:11" ht="75" x14ac:dyDescent="0.2">
      <c r="A158" s="394"/>
      <c r="B158" s="395" t="s">
        <v>469</v>
      </c>
      <c r="C158" s="395" t="s">
        <v>470</v>
      </c>
      <c r="D158" s="395" t="s">
        <v>445</v>
      </c>
      <c r="E158" s="395" t="s">
        <v>826</v>
      </c>
      <c r="F158" s="399" t="s">
        <v>620</v>
      </c>
      <c r="G158" s="400"/>
      <c r="H158" s="410"/>
      <c r="I158" s="403">
        <f>100000-100000</f>
        <v>0</v>
      </c>
      <c r="J158" s="404"/>
      <c r="K158" s="114"/>
    </row>
    <row r="159" spans="1:11" ht="105" x14ac:dyDescent="0.2">
      <c r="A159" s="394"/>
      <c r="B159" s="395" t="s">
        <v>469</v>
      </c>
      <c r="C159" s="395" t="s">
        <v>470</v>
      </c>
      <c r="D159" s="395" t="s">
        <v>445</v>
      </c>
      <c r="E159" s="395" t="s">
        <v>826</v>
      </c>
      <c r="F159" s="409" t="s">
        <v>682</v>
      </c>
      <c r="G159" s="400"/>
      <c r="H159" s="400"/>
      <c r="I159" s="403">
        <f>100000-50000</f>
        <v>50000</v>
      </c>
      <c r="J159" s="404"/>
      <c r="K159" s="114"/>
    </row>
    <row r="160" spans="1:11" ht="105" x14ac:dyDescent="0.2">
      <c r="A160" s="394"/>
      <c r="B160" s="395" t="s">
        <v>469</v>
      </c>
      <c r="C160" s="395" t="s">
        <v>470</v>
      </c>
      <c r="D160" s="395" t="s">
        <v>445</v>
      </c>
      <c r="E160" s="395" t="s">
        <v>826</v>
      </c>
      <c r="F160" s="411" t="s">
        <v>593</v>
      </c>
      <c r="G160" s="400"/>
      <c r="H160" s="410"/>
      <c r="I160" s="403">
        <f>100000-100000</f>
        <v>0</v>
      </c>
      <c r="J160" s="404"/>
      <c r="K160" s="114"/>
    </row>
    <row r="161" spans="1:10" ht="60" x14ac:dyDescent="0.2">
      <c r="B161" s="395" t="s">
        <v>469</v>
      </c>
      <c r="C161" s="395" t="s">
        <v>470</v>
      </c>
      <c r="D161" s="395" t="s">
        <v>445</v>
      </c>
      <c r="E161" s="395" t="s">
        <v>826</v>
      </c>
      <c r="F161" s="411" t="s">
        <v>825</v>
      </c>
      <c r="G161" s="400" t="s">
        <v>776</v>
      </c>
      <c r="H161" s="412">
        <v>977031</v>
      </c>
      <c r="I161" s="403">
        <v>198700</v>
      </c>
      <c r="J161" s="404">
        <f>(778322.63+198700)/H161</f>
        <v>0.99999143322985662</v>
      </c>
    </row>
    <row r="162" spans="1:10" ht="60" x14ac:dyDescent="0.2">
      <c r="B162" s="323" t="s">
        <v>917</v>
      </c>
      <c r="C162" s="323" t="s">
        <v>562</v>
      </c>
      <c r="D162" s="323" t="s">
        <v>445</v>
      </c>
      <c r="E162" s="323" t="s">
        <v>463</v>
      </c>
      <c r="F162" s="414" t="s">
        <v>608</v>
      </c>
      <c r="G162" s="337" t="s">
        <v>776</v>
      </c>
      <c r="H162" s="337">
        <v>30084395</v>
      </c>
      <c r="I162" s="337">
        <f>(4000000)+2000000-1000000+1200000+2000000+1500000</f>
        <v>9700000</v>
      </c>
      <c r="J162" s="344">
        <f>(391733+4041104.35+4000000+2000000+2000000-1000000+1200000+1500000)/H162</f>
        <v>0.46977302850863378</v>
      </c>
    </row>
    <row r="163" spans="1:10" ht="45" x14ac:dyDescent="0.2">
      <c r="B163" s="395" t="s">
        <v>917</v>
      </c>
      <c r="C163" s="395" t="s">
        <v>562</v>
      </c>
      <c r="D163" s="395" t="s">
        <v>251</v>
      </c>
      <c r="E163" s="395" t="s">
        <v>393</v>
      </c>
      <c r="F163" s="413" t="s">
        <v>615</v>
      </c>
      <c r="G163" s="400" t="s">
        <v>777</v>
      </c>
      <c r="H163" s="400">
        <v>160515935</v>
      </c>
      <c r="I163" s="400">
        <f>20000000+5000000+1000000-5000000-5500000+2000000</f>
        <v>17500000</v>
      </c>
      <c r="J163" s="404">
        <f>(38829200+34763964.93+20000000+5000000+1000000-5000000-5500000+2000000)/H163</f>
        <v>0.56750231638995852</v>
      </c>
    </row>
    <row r="164" spans="1:10" ht="75" x14ac:dyDescent="0.2">
      <c r="B164" s="319" t="s">
        <v>241</v>
      </c>
      <c r="C164" s="319"/>
      <c r="D164" s="319"/>
      <c r="E164" s="321" t="s">
        <v>847</v>
      </c>
      <c r="F164" s="319"/>
      <c r="G164" s="319"/>
      <c r="H164" s="319"/>
      <c r="I164" s="319">
        <f>I165</f>
        <v>96500</v>
      </c>
      <c r="J164" s="319"/>
    </row>
    <row r="165" spans="1:10" ht="85.5" x14ac:dyDescent="0.2">
      <c r="B165" s="320" t="s">
        <v>242</v>
      </c>
      <c r="C165" s="320"/>
      <c r="D165" s="320"/>
      <c r="E165" s="320" t="s">
        <v>848</v>
      </c>
      <c r="F165" s="320"/>
      <c r="G165" s="320"/>
      <c r="H165" s="320"/>
      <c r="I165" s="320">
        <f>SUM(I166:I170)</f>
        <v>96500</v>
      </c>
      <c r="J165" s="320"/>
    </row>
    <row r="166" spans="1:10" ht="60" hidden="1" customHeight="1" x14ac:dyDescent="0.2">
      <c r="B166" s="313" t="s">
        <v>455</v>
      </c>
      <c r="C166" s="313" t="s">
        <v>456</v>
      </c>
      <c r="D166" s="313" t="s">
        <v>445</v>
      </c>
      <c r="E166" s="313" t="s">
        <v>457</v>
      </c>
      <c r="F166" s="315" t="s">
        <v>599</v>
      </c>
      <c r="G166" s="314"/>
      <c r="H166" s="314"/>
      <c r="I166" s="316">
        <f>(2376000)-2376000</f>
        <v>0</v>
      </c>
      <c r="J166" s="316"/>
    </row>
    <row r="167" spans="1:10" ht="45" hidden="1" x14ac:dyDescent="0.2">
      <c r="B167" s="313" t="s">
        <v>455</v>
      </c>
      <c r="C167" s="313" t="s">
        <v>456</v>
      </c>
      <c r="D167" s="313" t="s">
        <v>445</v>
      </c>
      <c r="E167" s="313" t="s">
        <v>457</v>
      </c>
      <c r="F167" s="315" t="s">
        <v>747</v>
      </c>
      <c r="G167" s="314"/>
      <c r="H167" s="314"/>
      <c r="I167" s="316">
        <f>(500000)-500000</f>
        <v>0</v>
      </c>
      <c r="J167" s="316"/>
    </row>
    <row r="168" spans="1:10" ht="60" x14ac:dyDescent="0.2">
      <c r="B168" s="323" t="s">
        <v>722</v>
      </c>
      <c r="C168" s="323" t="s">
        <v>336</v>
      </c>
      <c r="D168" s="323" t="s">
        <v>334</v>
      </c>
      <c r="E168" s="323" t="s">
        <v>335</v>
      </c>
      <c r="F168" s="324" t="s">
        <v>90</v>
      </c>
      <c r="G168" s="324"/>
      <c r="H168" s="324"/>
      <c r="I168" s="337">
        <v>26500</v>
      </c>
      <c r="J168" s="337"/>
    </row>
    <row r="169" spans="1:10" ht="90" x14ac:dyDescent="0.2">
      <c r="B169" s="323" t="s">
        <v>455</v>
      </c>
      <c r="C169" s="323" t="s">
        <v>456</v>
      </c>
      <c r="D169" s="323" t="s">
        <v>445</v>
      </c>
      <c r="E169" s="323" t="s">
        <v>457</v>
      </c>
      <c r="F169" s="341" t="s">
        <v>972</v>
      </c>
      <c r="G169" s="324"/>
      <c r="H169" s="324"/>
      <c r="I169" s="337">
        <v>35000</v>
      </c>
      <c r="J169" s="337"/>
    </row>
    <row r="170" spans="1:10" ht="105" x14ac:dyDescent="0.2">
      <c r="B170" s="323" t="s">
        <v>455</v>
      </c>
      <c r="C170" s="323" t="s">
        <v>456</v>
      </c>
      <c r="D170" s="323" t="s">
        <v>445</v>
      </c>
      <c r="E170" s="323" t="s">
        <v>457</v>
      </c>
      <c r="F170" s="342" t="s">
        <v>962</v>
      </c>
      <c r="G170" s="324"/>
      <c r="H170" s="324"/>
      <c r="I170" s="337">
        <v>35000</v>
      </c>
      <c r="J170" s="337"/>
    </row>
    <row r="171" spans="1:10" ht="30" x14ac:dyDescent="0.2">
      <c r="A171" s="150"/>
      <c r="B171" s="319" t="s">
        <v>247</v>
      </c>
      <c r="C171" s="319"/>
      <c r="D171" s="319"/>
      <c r="E171" s="321" t="s">
        <v>567</v>
      </c>
      <c r="F171" s="319"/>
      <c r="G171" s="319"/>
      <c r="H171" s="319"/>
      <c r="I171" s="319">
        <f>I172</f>
        <v>2354114.52</v>
      </c>
      <c r="J171" s="319"/>
    </row>
    <row r="172" spans="1:10" ht="42.75" x14ac:dyDescent="0.2">
      <c r="A172" s="150"/>
      <c r="B172" s="320" t="s">
        <v>248</v>
      </c>
      <c r="C172" s="320"/>
      <c r="D172" s="320"/>
      <c r="E172" s="320" t="s">
        <v>568</v>
      </c>
      <c r="F172" s="320"/>
      <c r="G172" s="320"/>
      <c r="H172" s="320"/>
      <c r="I172" s="320">
        <f>SUM(I173:I177)</f>
        <v>2354114.52</v>
      </c>
      <c r="J172" s="320"/>
    </row>
    <row r="173" spans="1:10" ht="45" hidden="1" x14ac:dyDescent="0.2">
      <c r="B173" s="313" t="s">
        <v>561</v>
      </c>
      <c r="C173" s="313" t="s">
        <v>562</v>
      </c>
      <c r="D173" s="313" t="s">
        <v>251</v>
      </c>
      <c r="E173" s="313" t="s">
        <v>393</v>
      </c>
      <c r="F173" s="314" t="s">
        <v>90</v>
      </c>
      <c r="G173" s="317"/>
      <c r="H173" s="317"/>
      <c r="I173" s="318">
        <f>(2000000)-2000000</f>
        <v>0</v>
      </c>
      <c r="J173" s="318"/>
    </row>
    <row r="174" spans="1:10" ht="30" x14ac:dyDescent="0.2">
      <c r="B174" s="323" t="s">
        <v>391</v>
      </c>
      <c r="C174" s="323" t="s">
        <v>392</v>
      </c>
      <c r="D174" s="323" t="s">
        <v>390</v>
      </c>
      <c r="E174" s="323" t="s">
        <v>389</v>
      </c>
      <c r="F174" s="324" t="s">
        <v>90</v>
      </c>
      <c r="G174" s="379"/>
      <c r="H174" s="379"/>
      <c r="I174" s="380">
        <f>(((570000)+200000)+100000)</f>
        <v>870000</v>
      </c>
      <c r="J174" s="380"/>
    </row>
    <row r="175" spans="1:10" ht="30" x14ac:dyDescent="0.2">
      <c r="A175" s="322"/>
      <c r="B175" s="323" t="s">
        <v>387</v>
      </c>
      <c r="C175" s="323" t="s">
        <v>388</v>
      </c>
      <c r="D175" s="323" t="s">
        <v>251</v>
      </c>
      <c r="E175" s="323" t="s">
        <v>386</v>
      </c>
      <c r="F175" s="324" t="s">
        <v>90</v>
      </c>
      <c r="G175" s="379"/>
      <c r="H175" s="379"/>
      <c r="I175" s="380">
        <f>((200000)-46885.48)+31000</f>
        <v>184114.52</v>
      </c>
      <c r="J175" s="380"/>
    </row>
    <row r="176" spans="1:10" ht="15" x14ac:dyDescent="0.2">
      <c r="A176" s="322"/>
      <c r="B176" s="323" t="s">
        <v>897</v>
      </c>
      <c r="C176" s="323" t="s">
        <v>591</v>
      </c>
      <c r="D176" s="323" t="s">
        <v>71</v>
      </c>
      <c r="E176" s="323" t="s">
        <v>592</v>
      </c>
      <c r="F176" s="324" t="s">
        <v>90</v>
      </c>
      <c r="G176" s="379"/>
      <c r="H176" s="379"/>
      <c r="I176" s="380">
        <v>800000</v>
      </c>
      <c r="J176" s="380"/>
    </row>
    <row r="177" spans="1:17" ht="90" x14ac:dyDescent="0.2">
      <c r="A177" s="322"/>
      <c r="B177" s="323" t="s">
        <v>897</v>
      </c>
      <c r="C177" s="323" t="s">
        <v>591</v>
      </c>
      <c r="D177" s="323" t="s">
        <v>71</v>
      </c>
      <c r="E177" s="323" t="s">
        <v>592</v>
      </c>
      <c r="F177" s="327" t="s">
        <v>974</v>
      </c>
      <c r="G177" s="379"/>
      <c r="H177" s="379"/>
      <c r="I177" s="380">
        <f>(2000000)-2000000+500000+1000000-1000000</f>
        <v>500000</v>
      </c>
      <c r="J177" s="380"/>
    </row>
    <row r="178" spans="1:17" ht="75" x14ac:dyDescent="0.2">
      <c r="B178" s="319" t="s">
        <v>243</v>
      </c>
      <c r="C178" s="319"/>
      <c r="D178" s="319"/>
      <c r="E178" s="321" t="s">
        <v>849</v>
      </c>
      <c r="F178" s="319"/>
      <c r="G178" s="319"/>
      <c r="H178" s="319"/>
      <c r="I178" s="319">
        <f>I179</f>
        <v>500000</v>
      </c>
      <c r="J178" s="319"/>
    </row>
    <row r="179" spans="1:17" ht="85.5" x14ac:dyDescent="0.2">
      <c r="B179" s="320" t="s">
        <v>244</v>
      </c>
      <c r="C179" s="320"/>
      <c r="D179" s="320"/>
      <c r="E179" s="320" t="s">
        <v>850</v>
      </c>
      <c r="F179" s="320"/>
      <c r="G179" s="320"/>
      <c r="H179" s="320"/>
      <c r="I179" s="320">
        <f>SUM(I180:I185)</f>
        <v>500000</v>
      </c>
      <c r="J179" s="320"/>
    </row>
    <row r="180" spans="1:17" ht="45" x14ac:dyDescent="0.2">
      <c r="B180" s="323" t="s">
        <v>452</v>
      </c>
      <c r="C180" s="323" t="s">
        <v>453</v>
      </c>
      <c r="D180" s="323" t="s">
        <v>454</v>
      </c>
      <c r="E180" s="323" t="s">
        <v>451</v>
      </c>
      <c r="F180" s="342" t="s">
        <v>687</v>
      </c>
      <c r="G180" s="324"/>
      <c r="H180" s="324"/>
      <c r="I180" s="337">
        <v>100000</v>
      </c>
      <c r="J180" s="337"/>
    </row>
    <row r="181" spans="1:17" ht="30" x14ac:dyDescent="0.2">
      <c r="B181" s="323" t="s">
        <v>452</v>
      </c>
      <c r="C181" s="323" t="s">
        <v>453</v>
      </c>
      <c r="D181" s="323" t="s">
        <v>454</v>
      </c>
      <c r="E181" s="323" t="s">
        <v>451</v>
      </c>
      <c r="F181" s="342" t="s">
        <v>55</v>
      </c>
      <c r="G181" s="324"/>
      <c r="H181" s="324"/>
      <c r="I181" s="337">
        <v>50000</v>
      </c>
      <c r="J181" s="337"/>
    </row>
    <row r="182" spans="1:17" ht="45" x14ac:dyDescent="0.2">
      <c r="B182" s="323" t="s">
        <v>452</v>
      </c>
      <c r="C182" s="323" t="s">
        <v>453</v>
      </c>
      <c r="D182" s="323" t="s">
        <v>454</v>
      </c>
      <c r="E182" s="323" t="s">
        <v>451</v>
      </c>
      <c r="F182" s="342" t="s">
        <v>484</v>
      </c>
      <c r="G182" s="324"/>
      <c r="H182" s="324"/>
      <c r="I182" s="337">
        <v>50000</v>
      </c>
      <c r="J182" s="337"/>
    </row>
    <row r="183" spans="1:17" ht="30" hidden="1" customHeight="1" x14ac:dyDescent="0.2">
      <c r="B183" s="323" t="s">
        <v>452</v>
      </c>
      <c r="C183" s="323" t="s">
        <v>453</v>
      </c>
      <c r="D183" s="323" t="s">
        <v>454</v>
      </c>
      <c r="E183" s="323" t="s">
        <v>451</v>
      </c>
      <c r="F183" s="342" t="s">
        <v>603</v>
      </c>
      <c r="G183" s="324"/>
      <c r="H183" s="324"/>
      <c r="I183" s="337"/>
      <c r="J183" s="337"/>
    </row>
    <row r="184" spans="1:17" ht="30" x14ac:dyDescent="0.2">
      <c r="B184" s="323" t="s">
        <v>452</v>
      </c>
      <c r="C184" s="323" t="s">
        <v>453</v>
      </c>
      <c r="D184" s="323" t="s">
        <v>454</v>
      </c>
      <c r="E184" s="323" t="s">
        <v>451</v>
      </c>
      <c r="F184" s="342" t="s">
        <v>56</v>
      </c>
      <c r="G184" s="324"/>
      <c r="H184" s="324"/>
      <c r="I184" s="337">
        <v>210000</v>
      </c>
      <c r="J184" s="337"/>
    </row>
    <row r="185" spans="1:17" ht="60" x14ac:dyDescent="0.2">
      <c r="B185" s="323" t="s">
        <v>600</v>
      </c>
      <c r="C185" s="323" t="s">
        <v>601</v>
      </c>
      <c r="D185" s="323" t="s">
        <v>251</v>
      </c>
      <c r="E185" s="323" t="s">
        <v>602</v>
      </c>
      <c r="F185" s="342" t="s">
        <v>485</v>
      </c>
      <c r="G185" s="324"/>
      <c r="H185" s="324"/>
      <c r="I185" s="337">
        <v>90000</v>
      </c>
      <c r="J185" s="337"/>
    </row>
    <row r="186" spans="1:17" ht="30" x14ac:dyDescent="0.2">
      <c r="B186" s="319" t="s">
        <v>249</v>
      </c>
      <c r="C186" s="319"/>
      <c r="D186" s="319"/>
      <c r="E186" s="321" t="s">
        <v>48</v>
      </c>
      <c r="F186" s="319"/>
      <c r="G186" s="319"/>
      <c r="H186" s="319"/>
      <c r="I186" s="319">
        <f>I187</f>
        <v>62500</v>
      </c>
      <c r="J186" s="319"/>
    </row>
    <row r="187" spans="1:17" ht="42.75" x14ac:dyDescent="0.2">
      <c r="B187" s="320" t="s">
        <v>250</v>
      </c>
      <c r="C187" s="320"/>
      <c r="D187" s="320"/>
      <c r="E187" s="320" t="s">
        <v>66</v>
      </c>
      <c r="F187" s="320"/>
      <c r="G187" s="320"/>
      <c r="H187" s="320"/>
      <c r="I187" s="320">
        <f>I188</f>
        <v>62500</v>
      </c>
      <c r="J187" s="320"/>
    </row>
    <row r="188" spans="1:17" ht="60" x14ac:dyDescent="0.2">
      <c r="B188" s="323" t="s">
        <v>723</v>
      </c>
      <c r="C188" s="323" t="s">
        <v>336</v>
      </c>
      <c r="D188" s="323" t="s">
        <v>334</v>
      </c>
      <c r="E188" s="323" t="s">
        <v>335</v>
      </c>
      <c r="F188" s="324" t="s">
        <v>90</v>
      </c>
      <c r="G188" s="324"/>
      <c r="H188" s="324"/>
      <c r="I188" s="337">
        <f>(50000)+12500</f>
        <v>62500</v>
      </c>
      <c r="J188" s="337"/>
    </row>
    <row r="189" spans="1:17" ht="24.75" customHeight="1" x14ac:dyDescent="0.3">
      <c r="A189" s="20"/>
      <c r="B189" s="139" t="s">
        <v>640</v>
      </c>
      <c r="C189" s="139" t="s">
        <v>640</v>
      </c>
      <c r="D189" s="139" t="s">
        <v>640</v>
      </c>
      <c r="E189" s="181" t="s">
        <v>656</v>
      </c>
      <c r="F189" s="139" t="s">
        <v>640</v>
      </c>
      <c r="G189" s="139" t="s">
        <v>640</v>
      </c>
      <c r="H189" s="139" t="s">
        <v>640</v>
      </c>
      <c r="I189" s="141">
        <f>I6+I15+I72+I31+I44+I63+I82+I141+I164+I178+I171+I186</f>
        <v>466633944.34999996</v>
      </c>
      <c r="J189" s="139" t="s">
        <v>640</v>
      </c>
      <c r="K189" s="246" t="b">
        <f>I189='dod3'!K192</f>
        <v>1</v>
      </c>
    </row>
    <row r="190" spans="1:17" ht="15.75" x14ac:dyDescent="0.2">
      <c r="B190" s="503" t="s">
        <v>486</v>
      </c>
      <c r="C190" s="504"/>
      <c r="D190" s="504"/>
      <c r="E190" s="504"/>
      <c r="F190" s="504"/>
      <c r="G190" s="504"/>
      <c r="H190" s="504"/>
      <c r="I190" s="504"/>
      <c r="J190" s="504"/>
      <c r="K190" s="504"/>
      <c r="L190" s="504"/>
      <c r="M190" s="504"/>
      <c r="N190" s="504"/>
      <c r="O190" s="504"/>
      <c r="P190" s="504"/>
      <c r="Q190" s="504"/>
    </row>
    <row r="191" spans="1:17" ht="12" customHeight="1" x14ac:dyDescent="0.2">
      <c r="B191" s="502"/>
      <c r="C191" s="502"/>
      <c r="D191" s="502"/>
      <c r="E191" s="502"/>
      <c r="F191" s="502"/>
      <c r="G191" s="502"/>
      <c r="H191" s="502"/>
      <c r="I191" s="502"/>
      <c r="J191" s="502"/>
    </row>
    <row r="192" spans="1:17" ht="15" x14ac:dyDescent="0.25">
      <c r="D192" s="499" t="s">
        <v>985</v>
      </c>
      <c r="E192" s="499"/>
      <c r="F192" s="499"/>
      <c r="G192" s="499"/>
      <c r="H192" s="499"/>
      <c r="I192" s="499"/>
      <c r="J192" s="499"/>
      <c r="K192" s="499"/>
      <c r="L192" s="499"/>
      <c r="M192" s="499"/>
      <c r="N192" s="499"/>
      <c r="O192" s="499"/>
      <c r="P192" s="499"/>
      <c r="Q192" s="499"/>
    </row>
    <row r="193" spans="4:17" ht="15" x14ac:dyDescent="0.25">
      <c r="D193" s="499"/>
      <c r="E193" s="499"/>
      <c r="F193" s="499"/>
      <c r="G193" s="499"/>
      <c r="H193" s="499"/>
      <c r="I193" s="499"/>
      <c r="J193" s="499"/>
      <c r="K193" s="499"/>
      <c r="L193" s="499"/>
      <c r="M193" s="499"/>
      <c r="N193" s="499"/>
      <c r="O193" s="499"/>
      <c r="P193" s="499"/>
      <c r="Q193" s="233"/>
    </row>
    <row r="194" spans="4:17" ht="15" x14ac:dyDescent="0.25">
      <c r="D194" s="499"/>
      <c r="E194" s="499"/>
      <c r="F194" s="499"/>
      <c r="G194" s="499"/>
      <c r="H194" s="499"/>
      <c r="I194" s="499"/>
      <c r="J194" s="499"/>
      <c r="K194" s="499"/>
      <c r="L194" s="499"/>
      <c r="M194" s="499"/>
      <c r="N194" s="499"/>
      <c r="O194" s="499"/>
      <c r="P194" s="499"/>
      <c r="Q194" s="233"/>
    </row>
    <row r="211" spans="7:10" ht="46.5" x14ac:dyDescent="0.2">
      <c r="J211" s="218"/>
    </row>
    <row r="214" spans="7:10" ht="46.5" x14ac:dyDescent="0.2">
      <c r="G214" s="218"/>
      <c r="J214" s="218"/>
    </row>
    <row r="233" spans="11:11" ht="90" x14ac:dyDescent="1.1499999999999999">
      <c r="K233" s="216" t="b">
        <f>G233=H233+I233</f>
        <v>1</v>
      </c>
    </row>
  </sheetData>
  <mergeCells count="24">
    <mergeCell ref="H53:H55"/>
    <mergeCell ref="I53:I55"/>
    <mergeCell ref="J53:J55"/>
    <mergeCell ref="B53:B55"/>
    <mergeCell ref="C53:C55"/>
    <mergeCell ref="D53:D55"/>
    <mergeCell ref="F53:F55"/>
    <mergeCell ref="G53:G55"/>
    <mergeCell ref="D194:P194"/>
    <mergeCell ref="B191:J191"/>
    <mergeCell ref="B190:Q190"/>
    <mergeCell ref="B1:J1"/>
    <mergeCell ref="G2:J2"/>
    <mergeCell ref="B3:J3"/>
    <mergeCell ref="D193:P193"/>
    <mergeCell ref="D192:Q192"/>
    <mergeCell ref="B50:B52"/>
    <mergeCell ref="C50:C52"/>
    <mergeCell ref="D50:D52"/>
    <mergeCell ref="F50:F52"/>
    <mergeCell ref="G50:G52"/>
    <mergeCell ref="H50:H52"/>
    <mergeCell ref="I50:I52"/>
    <mergeCell ref="J50:J52"/>
  </mergeCells>
  <phoneticPr fontId="16" type="noConversion"/>
  <printOptions horizontalCentered="1"/>
  <pageMargins left="0.82677165354330717" right="0" top="0.31496062992125984" bottom="0.31496062992125984" header="0.23622047244094491" footer="0.19685039370078741"/>
  <pageSetup paperSize="9" scale="70" fitToHeight="0" orientation="landscape" r:id="rId1"/>
  <headerFooter alignWithMargins="0">
    <oddFooter>&amp;R&amp;P</oddFooter>
  </headerFooter>
  <rowBreaks count="4" manualBreakCount="4">
    <brk id="22" min="1" max="9" man="1"/>
    <brk id="41" min="1" max="9" man="1"/>
    <brk id="170" min="1" max="9" man="1"/>
    <brk id="185" min="1"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6"/>
  <dimension ref="A1:K158"/>
  <sheetViews>
    <sheetView view="pageBreakPreview" topLeftCell="A22" zoomScale="85" zoomScaleNormal="85" zoomScaleSheetLayoutView="85" workbookViewId="0">
      <selection activeCell="D34" sqref="D34"/>
    </sheetView>
  </sheetViews>
  <sheetFormatPr defaultColWidth="9.140625" defaultRowHeight="12.75" x14ac:dyDescent="0.2"/>
  <cols>
    <col min="1" max="1" width="7" style="97" customWidth="1"/>
    <col min="2" max="2" width="23.5703125" style="97" customWidth="1"/>
    <col min="3" max="3" width="83.5703125" style="97" customWidth="1"/>
    <col min="4" max="4" width="18.28515625" style="97" customWidth="1"/>
    <col min="5" max="5" width="17" style="97" customWidth="1"/>
    <col min="6" max="6" width="14.7109375" style="97" customWidth="1"/>
    <col min="7" max="7" width="12.7109375" style="97" bestFit="1" customWidth="1"/>
    <col min="8" max="10" width="9.140625" style="97"/>
    <col min="11" max="11" width="52.5703125" style="97" customWidth="1"/>
    <col min="12" max="16384" width="9.140625" style="97"/>
  </cols>
  <sheetData>
    <row r="1" spans="1:8" ht="16.5" customHeight="1" x14ac:dyDescent="0.2">
      <c r="A1" s="96"/>
      <c r="D1" s="437" t="s">
        <v>188</v>
      </c>
      <c r="E1" s="437"/>
    </row>
    <row r="2" spans="1:8" ht="16.5" customHeight="1" x14ac:dyDescent="0.2">
      <c r="A2" s="96"/>
      <c r="D2" s="437" t="s">
        <v>189</v>
      </c>
      <c r="E2" s="516"/>
    </row>
    <row r="3" spans="1:8" ht="12.75" customHeight="1" x14ac:dyDescent="0.2">
      <c r="A3" s="96"/>
      <c r="D3" s="437"/>
      <c r="E3" s="516"/>
    </row>
    <row r="4" spans="1:8" ht="12.75" customHeight="1" x14ac:dyDescent="0.2">
      <c r="A4" s="96"/>
      <c r="D4" s="437"/>
      <c r="E4" s="439"/>
    </row>
    <row r="5" spans="1:8" ht="16.5" x14ac:dyDescent="0.25">
      <c r="A5" s="529" t="s">
        <v>190</v>
      </c>
      <c r="B5" s="530"/>
      <c r="C5" s="530"/>
      <c r="D5" s="530"/>
      <c r="E5" s="531"/>
      <c r="F5" s="98"/>
    </row>
    <row r="6" spans="1:8" ht="16.5" x14ac:dyDescent="0.25">
      <c r="A6" s="529" t="s">
        <v>191</v>
      </c>
      <c r="B6" s="529"/>
      <c r="C6" s="529"/>
      <c r="D6" s="529"/>
      <c r="E6" s="438"/>
    </row>
    <row r="7" spans="1:8" ht="16.5" x14ac:dyDescent="0.2">
      <c r="A7" s="532" t="s">
        <v>635</v>
      </c>
      <c r="B7" s="532"/>
      <c r="C7" s="532"/>
      <c r="D7" s="532"/>
      <c r="E7" s="533"/>
    </row>
    <row r="8" spans="1:8" ht="16.5" x14ac:dyDescent="0.2">
      <c r="D8" s="188"/>
      <c r="E8" s="188" t="s">
        <v>677</v>
      </c>
      <c r="F8" s="98"/>
      <c r="G8" s="98"/>
      <c r="H8" s="99"/>
    </row>
    <row r="9" spans="1:8" s="100" customFormat="1" ht="26.45" customHeight="1" x14ac:dyDescent="0.2">
      <c r="B9" s="101" t="s">
        <v>192</v>
      </c>
      <c r="C9" s="526" t="s">
        <v>193</v>
      </c>
      <c r="D9" s="524"/>
      <c r="E9" s="525"/>
    </row>
    <row r="10" spans="1:8" s="100" customFormat="1" ht="39.75" customHeight="1" x14ac:dyDescent="0.2">
      <c r="A10" s="102"/>
      <c r="B10" s="334" t="s">
        <v>194</v>
      </c>
      <c r="C10" s="519" t="s">
        <v>195</v>
      </c>
      <c r="D10" s="520"/>
      <c r="E10" s="335">
        <v>100</v>
      </c>
    </row>
    <row r="11" spans="1:8" s="100" customFormat="1" ht="40.700000000000003" customHeight="1" x14ac:dyDescent="0.2">
      <c r="B11" s="334" t="s">
        <v>196</v>
      </c>
      <c r="C11" s="519" t="s">
        <v>197</v>
      </c>
      <c r="D11" s="520"/>
      <c r="E11" s="335">
        <f>4350000+100000</f>
        <v>4450000</v>
      </c>
    </row>
    <row r="12" spans="1:8" s="100" customFormat="1" ht="61.5" customHeight="1" x14ac:dyDescent="0.2">
      <c r="B12" s="334" t="s">
        <v>198</v>
      </c>
      <c r="C12" s="519" t="s">
        <v>199</v>
      </c>
      <c r="D12" s="520"/>
      <c r="E12" s="335">
        <v>8500</v>
      </c>
    </row>
    <row r="13" spans="1:8" s="100" customFormat="1" ht="61.5" customHeight="1" x14ac:dyDescent="0.2">
      <c r="B13" s="334" t="s">
        <v>200</v>
      </c>
      <c r="C13" s="519" t="s">
        <v>201</v>
      </c>
      <c r="D13" s="520"/>
      <c r="E13" s="335">
        <v>0</v>
      </c>
      <c r="G13" s="100">
        <f>H13+I13</f>
        <v>0</v>
      </c>
    </row>
    <row r="14" spans="1:8" s="100" customFormat="1" ht="41.25" customHeight="1" x14ac:dyDescent="0.2">
      <c r="B14" s="334" t="s">
        <v>202</v>
      </c>
      <c r="C14" s="519" t="s">
        <v>203</v>
      </c>
      <c r="D14" s="520"/>
      <c r="E14" s="335">
        <v>3500</v>
      </c>
      <c r="G14" s="100">
        <f>H14+I14</f>
        <v>0</v>
      </c>
    </row>
    <row r="15" spans="1:8" s="100" customFormat="1" ht="26.45" customHeight="1" x14ac:dyDescent="0.2">
      <c r="B15" s="334"/>
      <c r="C15" s="528" t="s">
        <v>204</v>
      </c>
      <c r="D15" s="520"/>
      <c r="E15" s="428">
        <f>SUM(E10:E14)</f>
        <v>4462100</v>
      </c>
    </row>
    <row r="16" spans="1:8" s="100" customFormat="1" ht="26.45" customHeight="1" x14ac:dyDescent="0.2">
      <c r="B16" s="334"/>
      <c r="C16" s="528" t="s">
        <v>636</v>
      </c>
      <c r="D16" s="520"/>
      <c r="E16" s="428">
        <v>546803.04</v>
      </c>
      <c r="G16" s="100">
        <f>H16+I16</f>
        <v>0</v>
      </c>
    </row>
    <row r="17" spans="1:7" s="100" customFormat="1" ht="26.45" customHeight="1" x14ac:dyDescent="0.2">
      <c r="B17" s="144"/>
      <c r="C17" s="527" t="s">
        <v>205</v>
      </c>
      <c r="D17" s="518"/>
      <c r="E17" s="145">
        <f>E15+E16</f>
        <v>5008903.04</v>
      </c>
    </row>
    <row r="18" spans="1:7" s="100" customFormat="1" ht="30.75" customHeight="1" x14ac:dyDescent="0.2">
      <c r="A18" s="113"/>
      <c r="B18" s="103"/>
      <c r="C18" s="523" t="s">
        <v>206</v>
      </c>
      <c r="D18" s="524"/>
      <c r="E18" s="525"/>
      <c r="G18" s="100">
        <f>SUM(G19:G29)</f>
        <v>0</v>
      </c>
    </row>
    <row r="19" spans="1:7" s="100" customFormat="1" ht="43.5" customHeight="1" x14ac:dyDescent="0.2">
      <c r="A19" s="113"/>
      <c r="B19" s="334" t="s">
        <v>207</v>
      </c>
      <c r="C19" s="519" t="s">
        <v>208</v>
      </c>
      <c r="D19" s="520"/>
      <c r="E19" s="335">
        <f>((90000)+30000)-75000</f>
        <v>45000</v>
      </c>
      <c r="G19" s="100">
        <f>H19+I19</f>
        <v>0</v>
      </c>
    </row>
    <row r="20" spans="1:7" s="100" customFormat="1" ht="44.45" customHeight="1" x14ac:dyDescent="0.2">
      <c r="A20" s="113"/>
      <c r="B20" s="334" t="s">
        <v>209</v>
      </c>
      <c r="C20" s="519" t="s">
        <v>210</v>
      </c>
      <c r="D20" s="520"/>
      <c r="E20" s="335">
        <f>(81100)+8000</f>
        <v>89100</v>
      </c>
      <c r="G20" s="100">
        <f>H20+I20</f>
        <v>0</v>
      </c>
    </row>
    <row r="21" spans="1:7" s="100" customFormat="1" ht="61.5" customHeight="1" x14ac:dyDescent="0.2">
      <c r="A21" s="113"/>
      <c r="B21" s="334" t="s">
        <v>211</v>
      </c>
      <c r="C21" s="519" t="s">
        <v>924</v>
      </c>
      <c r="D21" s="520"/>
      <c r="E21" s="335">
        <f>(317000)-134495</f>
        <v>182505</v>
      </c>
      <c r="G21" s="100">
        <f>H21+I21</f>
        <v>0</v>
      </c>
    </row>
    <row r="22" spans="1:7" s="100" customFormat="1" ht="44.45" customHeight="1" x14ac:dyDescent="0.2">
      <c r="A22" s="113"/>
      <c r="B22" s="334" t="s">
        <v>212</v>
      </c>
      <c r="C22" s="519" t="s">
        <v>702</v>
      </c>
      <c r="D22" s="520"/>
      <c r="E22" s="335">
        <v>199000</v>
      </c>
      <c r="G22" s="100">
        <f>H22+I22</f>
        <v>0</v>
      </c>
    </row>
    <row r="23" spans="1:7" s="100" customFormat="1" ht="32.25" customHeight="1" x14ac:dyDescent="0.2">
      <c r="A23" s="113"/>
      <c r="B23" s="334" t="s">
        <v>213</v>
      </c>
      <c r="C23" s="519" t="s">
        <v>214</v>
      </c>
      <c r="D23" s="520"/>
      <c r="E23" s="335">
        <v>202000</v>
      </c>
      <c r="G23" s="100">
        <f>H23+I23</f>
        <v>0</v>
      </c>
    </row>
    <row r="24" spans="1:7" s="100" customFormat="1" ht="40.700000000000003" customHeight="1" x14ac:dyDescent="0.2">
      <c r="A24" s="113"/>
      <c r="B24" s="334" t="s">
        <v>215</v>
      </c>
      <c r="C24" s="519" t="s">
        <v>216</v>
      </c>
      <c r="D24" s="520"/>
      <c r="E24" s="335">
        <f>((700000)+60000)+40000</f>
        <v>800000</v>
      </c>
    </row>
    <row r="25" spans="1:7" s="100" customFormat="1" ht="79.5" customHeight="1" x14ac:dyDescent="0.2">
      <c r="A25" s="113"/>
      <c r="B25" s="334" t="s">
        <v>217</v>
      </c>
      <c r="C25" s="519" t="s">
        <v>218</v>
      </c>
      <c r="D25" s="520"/>
      <c r="E25" s="335">
        <f>(750000)+53137</f>
        <v>803137</v>
      </c>
    </row>
    <row r="26" spans="1:7" s="100" customFormat="1" ht="44.45" customHeight="1" x14ac:dyDescent="0.2">
      <c r="A26" s="113"/>
      <c r="B26" s="334" t="s">
        <v>219</v>
      </c>
      <c r="C26" s="521" t="s">
        <v>220</v>
      </c>
      <c r="D26" s="520"/>
      <c r="E26" s="335">
        <v>18000</v>
      </c>
    </row>
    <row r="27" spans="1:7" s="100" customFormat="1" ht="15.75" hidden="1" customHeight="1" x14ac:dyDescent="0.2">
      <c r="A27" s="113"/>
      <c r="B27" s="334" t="s">
        <v>221</v>
      </c>
      <c r="C27" s="521" t="s">
        <v>222</v>
      </c>
      <c r="D27" s="520"/>
      <c r="E27" s="335"/>
    </row>
    <row r="28" spans="1:7" s="100" customFormat="1" ht="45.75" customHeight="1" x14ac:dyDescent="0.2">
      <c r="A28" s="113"/>
      <c r="B28" s="334" t="s">
        <v>223</v>
      </c>
      <c r="C28" s="519" t="s">
        <v>224</v>
      </c>
      <c r="D28" s="520"/>
      <c r="E28" s="335">
        <f>((1855000)+300000+30636.7+42100+153264+27665.34)+127000+134495</f>
        <v>2670161.04</v>
      </c>
    </row>
    <row r="29" spans="1:7" s="100" customFormat="1" ht="27.75" customHeight="1" x14ac:dyDescent="0.2">
      <c r="B29" s="142"/>
      <c r="C29" s="517" t="s">
        <v>205</v>
      </c>
      <c r="D29" s="518"/>
      <c r="E29" s="143">
        <f>E19+E20+E21+E22+E23+E24+E26+E27+E28+E25</f>
        <v>5008903.04</v>
      </c>
      <c r="F29" s="206" t="b">
        <f>E17=E29</f>
        <v>1</v>
      </c>
      <c r="G29" s="206" t="b">
        <f>E29='dod3'!Q19+'dod3'!Q104+'dod3'!Q151</f>
        <v>1</v>
      </c>
    </row>
    <row r="32" spans="1:7" ht="18.75" x14ac:dyDescent="0.2">
      <c r="B32" s="174" t="s">
        <v>980</v>
      </c>
      <c r="C32" s="174"/>
      <c r="D32" s="174" t="s">
        <v>981</v>
      </c>
    </row>
    <row r="33" spans="2:7" ht="18.75" x14ac:dyDescent="0.2">
      <c r="B33" s="174"/>
      <c r="C33" s="174"/>
      <c r="D33" s="174"/>
    </row>
    <row r="34" spans="2:7" ht="18.75" x14ac:dyDescent="0.2">
      <c r="B34" s="522"/>
      <c r="C34" s="522"/>
      <c r="D34" s="173"/>
    </row>
    <row r="40" spans="2:7" ht="16.5" x14ac:dyDescent="0.2">
      <c r="B40" s="515"/>
      <c r="C40" s="104"/>
      <c r="D40" s="105"/>
      <c r="E40" s="106"/>
    </row>
    <row r="41" spans="2:7" ht="16.5" x14ac:dyDescent="0.2">
      <c r="B41" s="515"/>
      <c r="C41" s="107"/>
      <c r="D41" s="105"/>
      <c r="E41" s="106"/>
    </row>
    <row r="42" spans="2:7" ht="16.5" x14ac:dyDescent="0.2">
      <c r="B42" s="515"/>
      <c r="C42" s="108"/>
      <c r="D42" s="105"/>
      <c r="E42" s="106"/>
    </row>
    <row r="43" spans="2:7" ht="16.5" x14ac:dyDescent="0.2">
      <c r="B43" s="515"/>
      <c r="C43" s="104"/>
      <c r="D43" s="105"/>
      <c r="E43" s="106"/>
    </row>
    <row r="44" spans="2:7" ht="16.5" x14ac:dyDescent="0.2">
      <c r="B44" s="515"/>
      <c r="C44" s="104"/>
      <c r="D44" s="105"/>
      <c r="E44" s="106"/>
    </row>
    <row r="45" spans="2:7" x14ac:dyDescent="0.2">
      <c r="G45" s="97">
        <f>H45+I45</f>
        <v>0</v>
      </c>
    </row>
    <row r="47" spans="2:7" x14ac:dyDescent="0.2">
      <c r="G47" s="97">
        <f t="shared" ref="G47:G65" si="0">H47+I47</f>
        <v>0</v>
      </c>
    </row>
    <row r="48" spans="2:7" x14ac:dyDescent="0.2">
      <c r="G48" s="97">
        <f t="shared" si="0"/>
        <v>0</v>
      </c>
    </row>
    <row r="49" spans="7:7" x14ac:dyDescent="0.2">
      <c r="G49" s="97">
        <f t="shared" si="0"/>
        <v>0</v>
      </c>
    </row>
    <row r="50" spans="7:7" x14ac:dyDescent="0.2">
      <c r="G50" s="97">
        <f t="shared" si="0"/>
        <v>0</v>
      </c>
    </row>
    <row r="51" spans="7:7" x14ac:dyDescent="0.2">
      <c r="G51" s="97">
        <f t="shared" si="0"/>
        <v>0</v>
      </c>
    </row>
    <row r="52" spans="7:7" x14ac:dyDescent="0.2">
      <c r="G52" s="97">
        <f t="shared" si="0"/>
        <v>0</v>
      </c>
    </row>
    <row r="53" spans="7:7" x14ac:dyDescent="0.2">
      <c r="G53" s="97">
        <f t="shared" si="0"/>
        <v>0</v>
      </c>
    </row>
    <row r="54" spans="7:7" x14ac:dyDescent="0.2">
      <c r="G54" s="97">
        <f t="shared" si="0"/>
        <v>0</v>
      </c>
    </row>
    <row r="55" spans="7:7" x14ac:dyDescent="0.2">
      <c r="G55" s="97">
        <f t="shared" si="0"/>
        <v>0</v>
      </c>
    </row>
    <row r="56" spans="7:7" x14ac:dyDescent="0.2">
      <c r="G56" s="97">
        <f t="shared" si="0"/>
        <v>0</v>
      </c>
    </row>
    <row r="57" spans="7:7" x14ac:dyDescent="0.2">
      <c r="G57" s="97">
        <f t="shared" si="0"/>
        <v>0</v>
      </c>
    </row>
    <row r="58" spans="7:7" x14ac:dyDescent="0.2">
      <c r="G58" s="97">
        <f t="shared" si="0"/>
        <v>0</v>
      </c>
    </row>
    <row r="59" spans="7:7" x14ac:dyDescent="0.2">
      <c r="G59" s="97">
        <f t="shared" si="0"/>
        <v>0</v>
      </c>
    </row>
    <row r="60" spans="7:7" x14ac:dyDescent="0.2">
      <c r="G60" s="97">
        <f t="shared" si="0"/>
        <v>0</v>
      </c>
    </row>
    <row r="61" spans="7:7" x14ac:dyDescent="0.2">
      <c r="G61" s="97">
        <f t="shared" si="0"/>
        <v>0</v>
      </c>
    </row>
    <row r="62" spans="7:7" x14ac:dyDescent="0.2">
      <c r="G62" s="97">
        <f t="shared" si="0"/>
        <v>0</v>
      </c>
    </row>
    <row r="63" spans="7:7" x14ac:dyDescent="0.2">
      <c r="G63" s="97">
        <f t="shared" si="0"/>
        <v>0</v>
      </c>
    </row>
    <row r="64" spans="7:7" x14ac:dyDescent="0.2">
      <c r="G64" s="97">
        <f t="shared" si="0"/>
        <v>0</v>
      </c>
    </row>
    <row r="65" spans="7:7" x14ac:dyDescent="0.2">
      <c r="G65" s="97">
        <f t="shared" si="0"/>
        <v>0</v>
      </c>
    </row>
    <row r="67" spans="7:7" x14ac:dyDescent="0.2">
      <c r="G67" s="97">
        <f>H67+I67</f>
        <v>0</v>
      </c>
    </row>
    <row r="68" spans="7:7" x14ac:dyDescent="0.2">
      <c r="G68" s="97">
        <f>H68+I68</f>
        <v>0</v>
      </c>
    </row>
    <row r="69" spans="7:7" x14ac:dyDescent="0.2">
      <c r="G69" s="97">
        <f>H69+I69</f>
        <v>0</v>
      </c>
    </row>
    <row r="70" spans="7:7" x14ac:dyDescent="0.2">
      <c r="G70" s="97">
        <f>H70+I70</f>
        <v>0</v>
      </c>
    </row>
    <row r="72" spans="7:7" x14ac:dyDescent="0.2">
      <c r="G72" s="97">
        <f>H72+I72</f>
        <v>0</v>
      </c>
    </row>
    <row r="75" spans="7:7" x14ac:dyDescent="0.2">
      <c r="G75" s="514"/>
    </row>
    <row r="76" spans="7:7" x14ac:dyDescent="0.2">
      <c r="G76" s="438"/>
    </row>
    <row r="112" spans="7:7" x14ac:dyDescent="0.2">
      <c r="G112" s="97">
        <f>H112+I112</f>
        <v>0</v>
      </c>
    </row>
    <row r="114" spans="7:7" x14ac:dyDescent="0.2">
      <c r="G114" s="97">
        <f t="shared" ref="G114:G124" si="1">H114+I114</f>
        <v>0</v>
      </c>
    </row>
    <row r="115" spans="7:7" x14ac:dyDescent="0.2">
      <c r="G115" s="97">
        <f t="shared" si="1"/>
        <v>0</v>
      </c>
    </row>
    <row r="116" spans="7:7" x14ac:dyDescent="0.2">
      <c r="G116" s="97">
        <f t="shared" si="1"/>
        <v>0</v>
      </c>
    </row>
    <row r="117" spans="7:7" x14ac:dyDescent="0.2">
      <c r="G117" s="97">
        <f t="shared" si="1"/>
        <v>0</v>
      </c>
    </row>
    <row r="118" spans="7:7" x14ac:dyDescent="0.2">
      <c r="G118" s="97">
        <f t="shared" si="1"/>
        <v>0</v>
      </c>
    </row>
    <row r="119" spans="7:7" x14ac:dyDescent="0.2">
      <c r="G119" s="97">
        <f t="shared" si="1"/>
        <v>0</v>
      </c>
    </row>
    <row r="120" spans="7:7" x14ac:dyDescent="0.2">
      <c r="G120" s="97">
        <f t="shared" si="1"/>
        <v>0</v>
      </c>
    </row>
    <row r="121" spans="7:7" x14ac:dyDescent="0.2">
      <c r="G121" s="97">
        <f t="shared" si="1"/>
        <v>0</v>
      </c>
    </row>
    <row r="122" spans="7:7" x14ac:dyDescent="0.2">
      <c r="G122" s="97">
        <f t="shared" si="1"/>
        <v>0</v>
      </c>
    </row>
    <row r="123" spans="7:7" x14ac:dyDescent="0.2">
      <c r="G123" s="97">
        <f t="shared" si="1"/>
        <v>0</v>
      </c>
    </row>
    <row r="124" spans="7:7" x14ac:dyDescent="0.2">
      <c r="G124" s="97">
        <f t="shared" si="1"/>
        <v>0</v>
      </c>
    </row>
    <row r="126" spans="7:7" x14ac:dyDescent="0.2">
      <c r="G126" s="97">
        <f>H127+I127</f>
        <v>0</v>
      </c>
    </row>
    <row r="127" spans="7:7" x14ac:dyDescent="0.2">
      <c r="G127" s="97">
        <f t="shared" ref="G127" si="2">H127+I127</f>
        <v>0</v>
      </c>
    </row>
    <row r="128" spans="7:7" x14ac:dyDescent="0.2">
      <c r="G128" s="97">
        <f>H128+I128</f>
        <v>0</v>
      </c>
    </row>
    <row r="129" spans="7:10" x14ac:dyDescent="0.2">
      <c r="G129" s="97">
        <f>H129+I129</f>
        <v>0</v>
      </c>
    </row>
    <row r="130" spans="7:10" x14ac:dyDescent="0.2">
      <c r="G130" s="97">
        <f>H130+I130</f>
        <v>0</v>
      </c>
    </row>
    <row r="131" spans="7:10" x14ac:dyDescent="0.2">
      <c r="G131" s="97">
        <f>H131+I131</f>
        <v>0</v>
      </c>
    </row>
    <row r="136" spans="7:10" ht="46.5" x14ac:dyDescent="0.2">
      <c r="J136" s="217"/>
    </row>
    <row r="139" spans="7:10" ht="46.5" x14ac:dyDescent="0.2">
      <c r="G139" s="217">
        <f>H139+I139</f>
        <v>0</v>
      </c>
      <c r="J139" s="217"/>
    </row>
    <row r="158" spans="11:11" ht="90" x14ac:dyDescent="0.2">
      <c r="K158" s="215" t="b">
        <f>G158=H158+I158</f>
        <v>1</v>
      </c>
    </row>
  </sheetData>
  <mergeCells count="31">
    <mergeCell ref="A5:E5"/>
    <mergeCell ref="A6:E6"/>
    <mergeCell ref="A7:E7"/>
    <mergeCell ref="C12:D12"/>
    <mergeCell ref="C11:D11"/>
    <mergeCell ref="C10:D10"/>
    <mergeCell ref="C19:D19"/>
    <mergeCell ref="B34:C34"/>
    <mergeCell ref="C18:E18"/>
    <mergeCell ref="C9:E9"/>
    <mergeCell ref="C17:D17"/>
    <mergeCell ref="C16:D16"/>
    <mergeCell ref="C15:D15"/>
    <mergeCell ref="C14:D14"/>
    <mergeCell ref="C13:D13"/>
    <mergeCell ref="G75:G76"/>
    <mergeCell ref="B40:B44"/>
    <mergeCell ref="D1:E1"/>
    <mergeCell ref="D2:E2"/>
    <mergeCell ref="D3:E3"/>
    <mergeCell ref="D4:E4"/>
    <mergeCell ref="C29:D29"/>
    <mergeCell ref="C28:D28"/>
    <mergeCell ref="C27:D27"/>
    <mergeCell ref="C26:D26"/>
    <mergeCell ref="C25:D25"/>
    <mergeCell ref="C24:D24"/>
    <mergeCell ref="C23:D23"/>
    <mergeCell ref="C22:D22"/>
    <mergeCell ref="C21:D21"/>
    <mergeCell ref="C20:D20"/>
  </mergeCells>
  <pageMargins left="0.23622047244094491" right="0.31496062992125984" top="0.27559055118110237" bottom="0" header="0.23622047244094491" footer="0.19685039370078741"/>
  <pageSetup paperSize="9" scale="6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7"/>
  <dimension ref="A1:K161"/>
  <sheetViews>
    <sheetView view="pageBreakPreview" topLeftCell="A13" zoomScale="85" zoomScaleNormal="85" zoomScaleSheetLayoutView="85" workbookViewId="0">
      <selection activeCell="F20" sqref="F20"/>
    </sheetView>
  </sheetViews>
  <sheetFormatPr defaultRowHeight="12.75" x14ac:dyDescent="0.2"/>
  <cols>
    <col min="1" max="1" width="6.85546875" customWidth="1"/>
    <col min="2" max="2" width="15.140625" customWidth="1"/>
    <col min="3" max="3" width="15.28515625" customWidth="1"/>
    <col min="4" max="4" width="10.85546875" customWidth="1"/>
    <col min="5" max="5" width="58.140625" customWidth="1"/>
    <col min="6" max="6" width="15.85546875" customWidth="1"/>
    <col min="11" max="11" width="52.5703125" customWidth="1"/>
  </cols>
  <sheetData>
    <row r="1" spans="1:7" x14ac:dyDescent="0.2">
      <c r="A1" s="120"/>
      <c r="B1" s="120"/>
      <c r="C1" s="120"/>
      <c r="D1" s="120"/>
      <c r="E1" s="120"/>
      <c r="F1" s="120" t="s">
        <v>471</v>
      </c>
    </row>
    <row r="2" spans="1:7" x14ac:dyDescent="0.2">
      <c r="A2" s="120"/>
      <c r="B2" s="120"/>
      <c r="C2" s="120"/>
      <c r="D2" s="120"/>
      <c r="E2" s="120"/>
      <c r="F2" s="120" t="s">
        <v>472</v>
      </c>
    </row>
    <row r="3" spans="1:7" x14ac:dyDescent="0.2">
      <c r="A3" s="120"/>
      <c r="B3" s="120"/>
      <c r="C3" s="120"/>
      <c r="D3" s="120"/>
      <c r="E3" s="120"/>
      <c r="F3" s="120" t="s">
        <v>473</v>
      </c>
    </row>
    <row r="4" spans="1:7" ht="15.75" x14ac:dyDescent="0.25">
      <c r="A4" s="534" t="s">
        <v>474</v>
      </c>
      <c r="B4" s="531"/>
      <c r="C4" s="531"/>
      <c r="D4" s="531"/>
      <c r="E4" s="531"/>
      <c r="F4" s="531"/>
    </row>
    <row r="5" spans="1:7" ht="15.75" x14ac:dyDescent="0.25">
      <c r="A5" s="534" t="s">
        <v>475</v>
      </c>
      <c r="B5" s="531"/>
      <c r="C5" s="531"/>
      <c r="D5" s="531"/>
      <c r="E5" s="531"/>
      <c r="F5" s="531"/>
    </row>
    <row r="6" spans="1:7" ht="15.75" x14ac:dyDescent="0.25">
      <c r="A6" s="535" t="s">
        <v>675</v>
      </c>
      <c r="B6" s="536"/>
      <c r="C6" s="536"/>
      <c r="D6" s="536"/>
      <c r="E6" s="536"/>
      <c r="F6" s="536"/>
    </row>
    <row r="7" spans="1:7" ht="59.25" customHeight="1" x14ac:dyDescent="0.2">
      <c r="A7" s="121" t="s">
        <v>476</v>
      </c>
      <c r="B7" s="122" t="s">
        <v>477</v>
      </c>
      <c r="C7" s="122" t="s">
        <v>38</v>
      </c>
      <c r="D7" s="122" t="s">
        <v>30</v>
      </c>
      <c r="E7" s="121" t="s">
        <v>478</v>
      </c>
      <c r="F7" s="123" t="s">
        <v>678</v>
      </c>
    </row>
    <row r="8" spans="1:7" ht="15.75" x14ac:dyDescent="0.2">
      <c r="A8" s="155">
        <v>1</v>
      </c>
      <c r="B8" s="205" t="s">
        <v>458</v>
      </c>
      <c r="C8" s="205" t="s">
        <v>459</v>
      </c>
      <c r="D8" s="205" t="s">
        <v>81</v>
      </c>
      <c r="E8" s="156" t="s">
        <v>604</v>
      </c>
      <c r="F8" s="157">
        <v>116000</v>
      </c>
    </row>
    <row r="9" spans="1:7" ht="78.75" hidden="1" x14ac:dyDescent="0.2">
      <c r="A9" s="155">
        <v>2</v>
      </c>
      <c r="B9" s="205" t="s">
        <v>458</v>
      </c>
      <c r="C9" s="205" t="s">
        <v>459</v>
      </c>
      <c r="D9" s="205" t="s">
        <v>81</v>
      </c>
      <c r="E9" s="156" t="s">
        <v>684</v>
      </c>
      <c r="F9" s="157">
        <f>130000-130000</f>
        <v>0</v>
      </c>
    </row>
    <row r="10" spans="1:7" ht="78.75" x14ac:dyDescent="0.2">
      <c r="A10" s="155">
        <v>2</v>
      </c>
      <c r="B10" s="205" t="s">
        <v>458</v>
      </c>
      <c r="C10" s="205" t="s">
        <v>459</v>
      </c>
      <c r="D10" s="205" t="s">
        <v>81</v>
      </c>
      <c r="E10" s="158" t="s">
        <v>683</v>
      </c>
      <c r="F10" s="157">
        <v>115000</v>
      </c>
    </row>
    <row r="11" spans="1:7" ht="80.45" customHeight="1" x14ac:dyDescent="0.2">
      <c r="A11" s="155">
        <v>3</v>
      </c>
      <c r="B11" s="205" t="s">
        <v>458</v>
      </c>
      <c r="C11" s="205" t="s">
        <v>459</v>
      </c>
      <c r="D11" s="205" t="s">
        <v>81</v>
      </c>
      <c r="E11" s="158" t="s">
        <v>685</v>
      </c>
      <c r="F11" s="157">
        <v>39000</v>
      </c>
    </row>
    <row r="12" spans="1:7" ht="78.75" x14ac:dyDescent="0.2">
      <c r="A12" s="155">
        <v>4</v>
      </c>
      <c r="B12" s="205" t="s">
        <v>460</v>
      </c>
      <c r="C12" s="205" t="s">
        <v>461</v>
      </c>
      <c r="D12" s="205" t="s">
        <v>83</v>
      </c>
      <c r="E12" s="158" t="s">
        <v>686</v>
      </c>
      <c r="F12" s="157">
        <v>100000</v>
      </c>
    </row>
    <row r="13" spans="1:7" ht="110.25" x14ac:dyDescent="0.2">
      <c r="A13" s="234">
        <v>5</v>
      </c>
      <c r="B13" s="205" t="s">
        <v>458</v>
      </c>
      <c r="C13" s="205" t="s">
        <v>459</v>
      </c>
      <c r="D13" s="205" t="s">
        <v>81</v>
      </c>
      <c r="E13" s="235" t="s">
        <v>803</v>
      </c>
      <c r="F13" s="157">
        <f>344616+130000</f>
        <v>474616</v>
      </c>
    </row>
    <row r="14" spans="1:7" ht="63" x14ac:dyDescent="0.2">
      <c r="A14" s="234">
        <v>6</v>
      </c>
      <c r="B14" s="205" t="s">
        <v>458</v>
      </c>
      <c r="C14" s="205" t="s">
        <v>459</v>
      </c>
      <c r="D14" s="205" t="s">
        <v>81</v>
      </c>
      <c r="E14" s="235" t="s">
        <v>804</v>
      </c>
      <c r="F14" s="157">
        <v>90000</v>
      </c>
    </row>
    <row r="15" spans="1:7" ht="78.75" x14ac:dyDescent="0.2">
      <c r="A15" s="155">
        <v>7</v>
      </c>
      <c r="B15" s="205" t="s">
        <v>805</v>
      </c>
      <c r="C15" s="205" t="s">
        <v>806</v>
      </c>
      <c r="D15" s="205" t="s">
        <v>828</v>
      </c>
      <c r="E15" s="158" t="s">
        <v>807</v>
      </c>
      <c r="F15" s="157">
        <v>56289.96</v>
      </c>
    </row>
    <row r="16" spans="1:7" ht="15.75" x14ac:dyDescent="0.2">
      <c r="A16" s="537" t="s">
        <v>479</v>
      </c>
      <c r="B16" s="538"/>
      <c r="C16" s="538"/>
      <c r="D16" s="538"/>
      <c r="E16" s="539"/>
      <c r="F16" s="146">
        <f>SUM(F8:F15)</f>
        <v>990905.96</v>
      </c>
      <c r="G16" s="124" t="b">
        <f>F16='dod3'!J175-'dod3'!J177</f>
        <v>1</v>
      </c>
    </row>
    <row r="17" spans="1:6" ht="15.75" x14ac:dyDescent="0.2">
      <c r="A17" s="127"/>
      <c r="B17" s="127"/>
      <c r="C17" s="127"/>
      <c r="D17" s="127"/>
      <c r="E17" s="127"/>
      <c r="F17" s="128"/>
    </row>
    <row r="18" spans="1:6" ht="15.75" x14ac:dyDescent="0.2">
      <c r="A18" s="541" t="s">
        <v>980</v>
      </c>
      <c r="B18" s="542"/>
      <c r="C18" s="542"/>
      <c r="D18" s="542"/>
      <c r="E18" s="169"/>
      <c r="F18" s="171" t="s">
        <v>981</v>
      </c>
    </row>
    <row r="19" spans="1:6" ht="15.75" x14ac:dyDescent="0.2">
      <c r="A19" s="172"/>
      <c r="B19" s="172"/>
      <c r="C19" s="172"/>
      <c r="D19" s="172"/>
      <c r="E19" s="169"/>
      <c r="F19" s="170"/>
    </row>
    <row r="20" spans="1:6" ht="15.75" x14ac:dyDescent="0.25">
      <c r="A20" s="543"/>
      <c r="B20" s="543"/>
      <c r="C20" s="543"/>
      <c r="D20" s="543"/>
      <c r="E20" s="125"/>
      <c r="F20" s="125"/>
    </row>
    <row r="21" spans="1:6" ht="15.75" x14ac:dyDescent="0.2">
      <c r="A21" s="540"/>
      <c r="B21" s="540"/>
      <c r="C21" s="540"/>
      <c r="D21" s="540"/>
      <c r="E21" s="540"/>
      <c r="F21" s="126"/>
    </row>
    <row r="78" spans="7:7" x14ac:dyDescent="0.2">
      <c r="G78" s="438"/>
    </row>
    <row r="79" spans="7:7" x14ac:dyDescent="0.2">
      <c r="G79" s="438"/>
    </row>
    <row r="139" spans="7:10" ht="46.5" x14ac:dyDescent="0.65">
      <c r="J139" s="159"/>
    </row>
    <row r="142" spans="7:10" ht="46.5" x14ac:dyDescent="0.65">
      <c r="G142" s="159"/>
      <c r="J142" s="159"/>
    </row>
    <row r="161" spans="11:11" ht="90" x14ac:dyDescent="1.1499999999999999">
      <c r="K161" s="214" t="b">
        <f>G161=H161+I161</f>
        <v>1</v>
      </c>
    </row>
  </sheetData>
  <mergeCells count="8">
    <mergeCell ref="G78:G79"/>
    <mergeCell ref="A4:F4"/>
    <mergeCell ref="A5:F5"/>
    <mergeCell ref="A6:F6"/>
    <mergeCell ref="A16:E16"/>
    <mergeCell ref="A21:E21"/>
    <mergeCell ref="A18:D18"/>
    <mergeCell ref="A20:D20"/>
  </mergeCell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8">
    <pageSetUpPr fitToPage="1"/>
  </sheetPr>
  <dimension ref="A1:Q232"/>
  <sheetViews>
    <sheetView view="pageBreakPreview" zoomScale="25" zoomScaleNormal="25" zoomScaleSheetLayoutView="25" zoomScalePageLayoutView="10" workbookViewId="0">
      <pane ySplit="10" topLeftCell="A215" activePane="bottomLeft" state="frozen"/>
      <selection activeCell="K153" sqref="K153"/>
      <selection pane="bottomLeft" activeCell="D220" sqref="D220:J220"/>
    </sheetView>
  </sheetViews>
  <sheetFormatPr defaultRowHeight="12.75" x14ac:dyDescent="0.2"/>
  <cols>
    <col min="1" max="1" width="48" style="1" customWidth="1"/>
    <col min="2" max="2" width="52.5703125" style="1" customWidth="1"/>
    <col min="3" max="3" width="65.7109375" style="1" customWidth="1"/>
    <col min="4" max="4" width="106.28515625" style="1" customWidth="1"/>
    <col min="5" max="5" width="113.85546875" style="5" customWidth="1"/>
    <col min="6" max="6" width="114" style="1" customWidth="1"/>
    <col min="7" max="7" width="55.42578125" style="1" customWidth="1"/>
    <col min="8" max="8" width="89.85546875" style="1" customWidth="1"/>
    <col min="9" max="9" width="71.85546875" style="1" customWidth="1"/>
    <col min="10" max="10" width="86.28515625" style="5" customWidth="1"/>
    <col min="11" max="11" width="62.28515625" customWidth="1"/>
    <col min="12" max="12" width="52.7109375" bestFit="1" customWidth="1"/>
    <col min="13" max="13" width="51" bestFit="1" customWidth="1"/>
    <col min="17" max="17" width="70.28515625" customWidth="1"/>
  </cols>
  <sheetData>
    <row r="1" spans="1:13" ht="45.75" x14ac:dyDescent="0.2">
      <c r="D1" s="7"/>
      <c r="E1" s="8"/>
      <c r="F1" s="9"/>
      <c r="G1" s="8"/>
      <c r="H1" s="8"/>
      <c r="I1" s="478" t="s">
        <v>680</v>
      </c>
      <c r="J1" s="478"/>
    </row>
    <row r="2" spans="1:13" ht="45.75" x14ac:dyDescent="0.2">
      <c r="A2" s="7"/>
      <c r="B2" s="7"/>
      <c r="C2" s="7"/>
      <c r="D2" s="7"/>
      <c r="E2" s="8"/>
      <c r="F2" s="9"/>
      <c r="G2" s="8"/>
      <c r="H2" s="8"/>
      <c r="I2" s="478" t="s">
        <v>899</v>
      </c>
      <c r="J2" s="480"/>
    </row>
    <row r="3" spans="1:13" ht="40.700000000000003" customHeight="1" x14ac:dyDescent="0.2">
      <c r="A3" s="7"/>
      <c r="B3" s="7"/>
      <c r="C3" s="7"/>
      <c r="D3" s="7"/>
      <c r="E3" s="8"/>
      <c r="F3" s="9"/>
      <c r="G3" s="8"/>
      <c r="H3" s="8"/>
      <c r="I3" s="478"/>
      <c r="J3" s="480"/>
    </row>
    <row r="4" spans="1:13" ht="45.75" hidden="1" x14ac:dyDescent="0.2">
      <c r="A4" s="7"/>
      <c r="B4" s="7"/>
      <c r="C4" s="7"/>
      <c r="D4" s="7"/>
      <c r="E4" s="8"/>
      <c r="F4" s="9"/>
      <c r="G4" s="8"/>
      <c r="H4" s="8"/>
      <c r="I4" s="7"/>
      <c r="J4" s="9"/>
    </row>
    <row r="5" spans="1:13" ht="45" x14ac:dyDescent="0.2">
      <c r="A5" s="482" t="s">
        <v>676</v>
      </c>
      <c r="B5" s="482"/>
      <c r="C5" s="482"/>
      <c r="D5" s="482"/>
      <c r="E5" s="482"/>
      <c r="F5" s="482"/>
      <c r="G5" s="482"/>
      <c r="H5" s="482"/>
      <c r="I5" s="482"/>
      <c r="J5" s="482"/>
    </row>
    <row r="6" spans="1:13" ht="45" x14ac:dyDescent="0.2">
      <c r="A6" s="482"/>
      <c r="B6" s="482"/>
      <c r="C6" s="482"/>
      <c r="D6" s="482"/>
      <c r="E6" s="482"/>
      <c r="F6" s="482"/>
      <c r="G6" s="482"/>
      <c r="H6" s="482"/>
      <c r="I6" s="482"/>
      <c r="J6" s="482"/>
    </row>
    <row r="7" spans="1:13" ht="53.45" customHeight="1" x14ac:dyDescent="0.2">
      <c r="A7" s="8"/>
      <c r="B7" s="8"/>
      <c r="C7" s="8"/>
      <c r="D7" s="8"/>
      <c r="E7" s="8"/>
      <c r="F7" s="9"/>
      <c r="G7" s="8"/>
      <c r="H7" s="8"/>
      <c r="I7" s="8"/>
      <c r="J7" s="10" t="s">
        <v>647</v>
      </c>
    </row>
    <row r="8" spans="1:13" ht="62.45" customHeight="1" x14ac:dyDescent="0.2">
      <c r="A8" s="484" t="s">
        <v>29</v>
      </c>
      <c r="B8" s="484" t="s">
        <v>648</v>
      </c>
      <c r="C8" s="484" t="s">
        <v>655</v>
      </c>
      <c r="D8" s="484" t="s">
        <v>649</v>
      </c>
      <c r="E8" s="484" t="s">
        <v>679</v>
      </c>
      <c r="F8" s="484" t="s">
        <v>681</v>
      </c>
      <c r="G8" s="484" t="s">
        <v>642</v>
      </c>
      <c r="H8" s="484" t="s">
        <v>25</v>
      </c>
      <c r="I8" s="488" t="s">
        <v>84</v>
      </c>
      <c r="J8" s="490"/>
    </row>
    <row r="9" spans="1:13" ht="409.6" customHeight="1" x14ac:dyDescent="0.2">
      <c r="A9" s="485"/>
      <c r="B9" s="487"/>
      <c r="C9" s="487"/>
      <c r="D9" s="485"/>
      <c r="E9" s="485"/>
      <c r="F9" s="485"/>
      <c r="G9" s="485"/>
      <c r="H9" s="485"/>
      <c r="I9" s="189" t="s">
        <v>643</v>
      </c>
      <c r="J9" s="189" t="s">
        <v>644</v>
      </c>
    </row>
    <row r="10" spans="1:13" s="2" customFormat="1" ht="111" customHeight="1" x14ac:dyDescent="0.2">
      <c r="A10" s="11" t="s">
        <v>4</v>
      </c>
      <c r="B10" s="11" t="s">
        <v>5</v>
      </c>
      <c r="C10" s="11" t="s">
        <v>27</v>
      </c>
      <c r="D10" s="11" t="s">
        <v>7</v>
      </c>
      <c r="E10" s="11" t="s">
        <v>658</v>
      </c>
      <c r="F10" s="11" t="s">
        <v>659</v>
      </c>
      <c r="G10" s="11" t="s">
        <v>660</v>
      </c>
      <c r="H10" s="11" t="s">
        <v>661</v>
      </c>
      <c r="I10" s="11" t="s">
        <v>662</v>
      </c>
      <c r="J10" s="11" t="s">
        <v>663</v>
      </c>
    </row>
    <row r="11" spans="1:13" s="2" customFormat="1" ht="135" x14ac:dyDescent="0.2">
      <c r="A11" s="331" t="s">
        <v>229</v>
      </c>
      <c r="B11" s="331"/>
      <c r="C11" s="331"/>
      <c r="D11" s="333" t="s">
        <v>231</v>
      </c>
      <c r="E11" s="331"/>
      <c r="F11" s="331"/>
      <c r="G11" s="331">
        <f>G12</f>
        <v>20075534</v>
      </c>
      <c r="H11" s="331">
        <f t="shared" ref="H11:J11" si="0">H12</f>
        <v>11543112</v>
      </c>
      <c r="I11" s="331">
        <f t="shared" si="0"/>
        <v>8532422</v>
      </c>
      <c r="J11" s="331">
        <f t="shared" si="0"/>
        <v>8532422</v>
      </c>
    </row>
    <row r="12" spans="1:13" s="2" customFormat="1" ht="135" x14ac:dyDescent="0.2">
      <c r="A12" s="332" t="s">
        <v>230</v>
      </c>
      <c r="B12" s="332"/>
      <c r="C12" s="332"/>
      <c r="D12" s="332" t="s">
        <v>232</v>
      </c>
      <c r="E12" s="332"/>
      <c r="F12" s="332"/>
      <c r="G12" s="332">
        <f>SUM(G13:G25)</f>
        <v>20075534</v>
      </c>
      <c r="H12" s="332">
        <f>SUM(H13:H25)</f>
        <v>11543112</v>
      </c>
      <c r="I12" s="332">
        <f>SUM(I13:I25)</f>
        <v>8532422</v>
      </c>
      <c r="J12" s="332">
        <f>SUM(J13:J25)</f>
        <v>8532422</v>
      </c>
    </row>
    <row r="13" spans="1:13" ht="320.25" x14ac:dyDescent="0.2">
      <c r="A13" s="260" t="s">
        <v>332</v>
      </c>
      <c r="B13" s="260" t="s">
        <v>333</v>
      </c>
      <c r="C13" s="260" t="s">
        <v>334</v>
      </c>
      <c r="D13" s="260" t="s">
        <v>331</v>
      </c>
      <c r="E13" s="261" t="s">
        <v>727</v>
      </c>
      <c r="F13" s="262" t="s">
        <v>726</v>
      </c>
      <c r="G13" s="276">
        <f>H13+I13</f>
        <v>1277574</v>
      </c>
      <c r="H13" s="266">
        <f>46500+195000+98500+23604</f>
        <v>363604</v>
      </c>
      <c r="I13" s="276">
        <f>660500+300000-46530</f>
        <v>913970</v>
      </c>
      <c r="J13" s="276">
        <f>660500+300000-46530</f>
        <v>913970</v>
      </c>
      <c r="K13" s="263" t="s">
        <v>930</v>
      </c>
      <c r="L13" s="242"/>
      <c r="M13">
        <v>46530</v>
      </c>
    </row>
    <row r="14" spans="1:13" ht="139.5" x14ac:dyDescent="0.2">
      <c r="A14" s="303" t="s">
        <v>348</v>
      </c>
      <c r="B14" s="303" t="s">
        <v>71</v>
      </c>
      <c r="C14" s="303" t="s">
        <v>70</v>
      </c>
      <c r="D14" s="303" t="s">
        <v>349</v>
      </c>
      <c r="E14" s="267" t="s">
        <v>856</v>
      </c>
      <c r="F14" s="276" t="s">
        <v>857</v>
      </c>
      <c r="G14" s="276">
        <f>H14+I14</f>
        <v>1000000</v>
      </c>
      <c r="H14" s="266">
        <v>1000000</v>
      </c>
      <c r="I14" s="276"/>
      <c r="J14" s="276"/>
    </row>
    <row r="15" spans="1:13" ht="228.75" x14ac:dyDescent="0.2">
      <c r="A15" s="303" t="s">
        <v>338</v>
      </c>
      <c r="B15" s="303" t="s">
        <v>339</v>
      </c>
      <c r="C15" s="303" t="s">
        <v>340</v>
      </c>
      <c r="D15" s="303" t="s">
        <v>337</v>
      </c>
      <c r="E15" s="267" t="s">
        <v>727</v>
      </c>
      <c r="F15" s="276" t="s">
        <v>726</v>
      </c>
      <c r="G15" s="276">
        <f>H15+I15</f>
        <v>6736400</v>
      </c>
      <c r="H15" s="276">
        <f>'dod3'!E17</f>
        <v>3236400</v>
      </c>
      <c r="I15" s="276">
        <f>'dod3'!J17</f>
        <v>3500000</v>
      </c>
      <c r="J15" s="276">
        <f>'dod3'!K17</f>
        <v>3500000</v>
      </c>
      <c r="K15" s="243" t="b">
        <f>H15='dod3'!E17</f>
        <v>1</v>
      </c>
      <c r="L15" s="190" t="b">
        <f>I15='dod3'!J17</f>
        <v>1</v>
      </c>
      <c r="M15" s="191" t="b">
        <f>J15='dod3'!K17</f>
        <v>1</v>
      </c>
    </row>
    <row r="16" spans="1:13" ht="91.5" hidden="1" x14ac:dyDescent="0.2">
      <c r="A16" s="303" t="s">
        <v>487</v>
      </c>
      <c r="B16" s="301" t="s">
        <v>288</v>
      </c>
      <c r="C16" s="301" t="s">
        <v>251</v>
      </c>
      <c r="D16" s="303" t="s">
        <v>57</v>
      </c>
      <c r="E16" s="304"/>
      <c r="F16" s="276"/>
      <c r="G16" s="276">
        <f t="shared" ref="G16" si="1">H16+I16</f>
        <v>0</v>
      </c>
      <c r="H16" s="276"/>
      <c r="I16" s="276"/>
      <c r="J16" s="276"/>
    </row>
    <row r="17" spans="1:17" ht="279" x14ac:dyDescent="0.2">
      <c r="A17" s="303" t="s">
        <v>341</v>
      </c>
      <c r="B17" s="303" t="s">
        <v>342</v>
      </c>
      <c r="C17" s="303" t="s">
        <v>343</v>
      </c>
      <c r="D17" s="302" t="s">
        <v>344</v>
      </c>
      <c r="E17" s="276" t="s">
        <v>729</v>
      </c>
      <c r="F17" s="276" t="s">
        <v>728</v>
      </c>
      <c r="G17" s="276">
        <f>H17+I17</f>
        <v>4573000</v>
      </c>
      <c r="H17" s="276">
        <f>'dod3'!E21</f>
        <v>4573000</v>
      </c>
      <c r="I17" s="276">
        <f>'dod3'!J21</f>
        <v>0</v>
      </c>
      <c r="J17" s="276">
        <f>'dod3'!K21</f>
        <v>0</v>
      </c>
      <c r="K17" s="243" t="b">
        <f>H17='dod3'!E21</f>
        <v>1</v>
      </c>
      <c r="L17" s="190" t="b">
        <f>I17='dod3'!J21</f>
        <v>1</v>
      </c>
      <c r="M17" s="191" t="b">
        <f>J17='dod3'!K21</f>
        <v>1</v>
      </c>
    </row>
    <row r="18" spans="1:17" ht="137.25" x14ac:dyDescent="0.2">
      <c r="A18" s="303" t="s">
        <v>851</v>
      </c>
      <c r="B18" s="303" t="s">
        <v>591</v>
      </c>
      <c r="C18" s="303" t="s">
        <v>71</v>
      </c>
      <c r="D18" s="303" t="s">
        <v>592</v>
      </c>
      <c r="E18" s="267" t="s">
        <v>794</v>
      </c>
      <c r="F18" s="330" t="s">
        <v>795</v>
      </c>
      <c r="G18" s="276">
        <f>H18+I18</f>
        <v>100000</v>
      </c>
      <c r="H18" s="276">
        <f>'dod3'!E23</f>
        <v>0</v>
      </c>
      <c r="I18" s="276">
        <f>'dod3'!J23</f>
        <v>100000</v>
      </c>
      <c r="J18" s="276">
        <f>'dod3'!K23</f>
        <v>100000</v>
      </c>
      <c r="K18" s="243" t="b">
        <f>H18='dod3'!E23</f>
        <v>1</v>
      </c>
      <c r="L18" s="190" t="b">
        <f>I18='dod3'!J23</f>
        <v>1</v>
      </c>
      <c r="M18" s="191" t="b">
        <f>J18='dod3'!K23</f>
        <v>1</v>
      </c>
      <c r="Q18" s="190"/>
    </row>
    <row r="19" spans="1:17" ht="372" x14ac:dyDescent="0.2">
      <c r="A19" s="303" t="s">
        <v>853</v>
      </c>
      <c r="B19" s="303" t="s">
        <v>854</v>
      </c>
      <c r="C19" s="303" t="s">
        <v>71</v>
      </c>
      <c r="D19" s="303" t="s">
        <v>852</v>
      </c>
      <c r="E19" s="276" t="s">
        <v>860</v>
      </c>
      <c r="F19" s="330" t="s">
        <v>859</v>
      </c>
      <c r="G19" s="276">
        <f>H19+I19</f>
        <v>3064560</v>
      </c>
      <c r="H19" s="276">
        <f>500000+41830+69700+500000+275000+12818+222560+26000+65200+27000+100000</f>
        <v>1840108</v>
      </c>
      <c r="I19" s="276">
        <f>58170+30300+400000+500000+25000+37182+15000+74000+84800</f>
        <v>1224452</v>
      </c>
      <c r="J19" s="276">
        <f>58170+30300+400000+500000+25000+37182+15000+74000+84800</f>
        <v>1224452</v>
      </c>
      <c r="K19" s="243" t="b">
        <f>'dod3'!E24='dod8'!H19+'dod8'!H20+'dod8'!H21+'dod8'!H22+'dod8'!H23+K24</f>
        <v>1</v>
      </c>
      <c r="L19" s="190" t="b">
        <f>'dod3'!J24='dod8'!I19+'dod8'!I20+'dod8'!I21+'dod8'!I22+'dod8'!I23+'dod8'!L24</f>
        <v>1</v>
      </c>
      <c r="M19" s="191" t="b">
        <f>'dod3'!K24='dod8'!J19+'dod8'!J20+'dod8'!J21+'dod8'!J22+'dod8'!J23+'dod8'!L24</f>
        <v>1</v>
      </c>
    </row>
    <row r="20" spans="1:17" ht="372" x14ac:dyDescent="0.2">
      <c r="A20" s="303" t="s">
        <v>853</v>
      </c>
      <c r="B20" s="303" t="s">
        <v>854</v>
      </c>
      <c r="C20" s="303" t="s">
        <v>71</v>
      </c>
      <c r="D20" s="303" t="s">
        <v>852</v>
      </c>
      <c r="E20" s="276" t="s">
        <v>864</v>
      </c>
      <c r="F20" s="330" t="s">
        <v>863</v>
      </c>
      <c r="G20" s="276">
        <f t="shared" ref="G20:G24" si="2">H20+I20</f>
        <v>1400000</v>
      </c>
      <c r="H20" s="276">
        <v>200000</v>
      </c>
      <c r="I20" s="276">
        <v>1200000</v>
      </c>
      <c r="J20" s="276">
        <v>1200000</v>
      </c>
      <c r="K20" s="190"/>
      <c r="L20" s="190"/>
      <c r="M20" s="191"/>
    </row>
    <row r="21" spans="1:17" ht="382.7" customHeight="1" x14ac:dyDescent="0.2">
      <c r="A21" s="303" t="s">
        <v>853</v>
      </c>
      <c r="B21" s="303" t="s">
        <v>854</v>
      </c>
      <c r="C21" s="303" t="s">
        <v>71</v>
      </c>
      <c r="D21" s="303" t="s">
        <v>852</v>
      </c>
      <c r="E21" s="276" t="s">
        <v>866</v>
      </c>
      <c r="F21" s="330" t="s">
        <v>865</v>
      </c>
      <c r="G21" s="276">
        <f t="shared" si="2"/>
        <v>130000</v>
      </c>
      <c r="H21" s="276">
        <v>130000</v>
      </c>
      <c r="I21" s="276"/>
      <c r="J21" s="276"/>
      <c r="K21" s="190"/>
      <c r="L21" s="190"/>
      <c r="M21" s="191"/>
    </row>
    <row r="22" spans="1:17" ht="409.5" x14ac:dyDescent="0.2">
      <c r="A22" s="303" t="s">
        <v>853</v>
      </c>
      <c r="B22" s="303" t="s">
        <v>854</v>
      </c>
      <c r="C22" s="303" t="s">
        <v>71</v>
      </c>
      <c r="D22" s="303" t="s">
        <v>852</v>
      </c>
      <c r="E22" s="330" t="s">
        <v>867</v>
      </c>
      <c r="F22" s="330" t="s">
        <v>868</v>
      </c>
      <c r="G22" s="276">
        <f t="shared" si="2"/>
        <v>100000</v>
      </c>
      <c r="H22" s="276">
        <v>100000</v>
      </c>
      <c r="I22" s="276"/>
      <c r="J22" s="276"/>
      <c r="K22" s="190"/>
      <c r="L22" s="190"/>
      <c r="M22" s="191"/>
    </row>
    <row r="23" spans="1:17" ht="279" x14ac:dyDescent="0.2">
      <c r="A23" s="303" t="s">
        <v>853</v>
      </c>
      <c r="B23" s="303" t="s">
        <v>854</v>
      </c>
      <c r="C23" s="303" t="s">
        <v>71</v>
      </c>
      <c r="D23" s="303" t="s">
        <v>852</v>
      </c>
      <c r="E23" s="276" t="s">
        <v>870</v>
      </c>
      <c r="F23" s="330" t="s">
        <v>869</v>
      </c>
      <c r="G23" s="276">
        <f t="shared" si="2"/>
        <v>1500000</v>
      </c>
      <c r="H23" s="276"/>
      <c r="I23" s="276">
        <f>(1000000)+500000</f>
        <v>1500000</v>
      </c>
      <c r="J23" s="276">
        <f>(1000000)+500000</f>
        <v>1500000</v>
      </c>
      <c r="K23" s="190"/>
      <c r="L23" s="190"/>
      <c r="M23" s="191"/>
    </row>
    <row r="24" spans="1:17" ht="397.5" customHeight="1" x14ac:dyDescent="0.65">
      <c r="A24" s="461" t="s">
        <v>853</v>
      </c>
      <c r="B24" s="461" t="s">
        <v>854</v>
      </c>
      <c r="C24" s="461" t="s">
        <v>71</v>
      </c>
      <c r="D24" s="461" t="s">
        <v>852</v>
      </c>
      <c r="E24" s="328" t="s">
        <v>871</v>
      </c>
      <c r="F24" s="461" t="s">
        <v>872</v>
      </c>
      <c r="G24" s="467">
        <f t="shared" si="2"/>
        <v>194000</v>
      </c>
      <c r="H24" s="452">
        <v>100000</v>
      </c>
      <c r="I24" s="452">
        <v>94000</v>
      </c>
      <c r="J24" s="452">
        <v>94000</v>
      </c>
      <c r="K24" s="190">
        <f>H24</f>
        <v>100000</v>
      </c>
      <c r="L24" s="190">
        <f>I24</f>
        <v>94000</v>
      </c>
      <c r="M24" s="191"/>
    </row>
    <row r="25" spans="1:17" ht="129" customHeight="1" x14ac:dyDescent="0.2">
      <c r="A25" s="464"/>
      <c r="B25" s="464"/>
      <c r="C25" s="464"/>
      <c r="D25" s="464"/>
      <c r="E25" s="329" t="s">
        <v>873</v>
      </c>
      <c r="F25" s="464"/>
      <c r="G25" s="464"/>
      <c r="H25" s="463"/>
      <c r="I25" s="463"/>
      <c r="J25" s="463"/>
      <c r="K25" s="190"/>
      <c r="L25" s="190"/>
      <c r="M25" s="191"/>
    </row>
    <row r="26" spans="1:17" ht="135" x14ac:dyDescent="0.2">
      <c r="A26" s="331" t="s">
        <v>233</v>
      </c>
      <c r="B26" s="331"/>
      <c r="C26" s="331"/>
      <c r="D26" s="333" t="s">
        <v>0</v>
      </c>
      <c r="E26" s="331"/>
      <c r="F26" s="331"/>
      <c r="G26" s="331">
        <f>G27</f>
        <v>1156115657.4400001</v>
      </c>
      <c r="H26" s="331">
        <f t="shared" ref="H26:J26" si="3">H27</f>
        <v>1008449605.4</v>
      </c>
      <c r="I26" s="331">
        <f t="shared" si="3"/>
        <v>147666052.03999999</v>
      </c>
      <c r="J26" s="331">
        <f t="shared" si="3"/>
        <v>43054437.039999999</v>
      </c>
      <c r="K26" s="190" t="b">
        <f>H26='dod3'!E26</f>
        <v>1</v>
      </c>
      <c r="L26" s="190" t="b">
        <f>I26='dod3'!J26</f>
        <v>1</v>
      </c>
      <c r="M26" s="191" t="b">
        <f>J26='dod3'!K25</f>
        <v>1</v>
      </c>
    </row>
    <row r="27" spans="1:17" ht="135" x14ac:dyDescent="0.2">
      <c r="A27" s="332" t="s">
        <v>234</v>
      </c>
      <c r="B27" s="332"/>
      <c r="C27" s="332"/>
      <c r="D27" s="332" t="s">
        <v>1</v>
      </c>
      <c r="E27" s="332"/>
      <c r="F27" s="332"/>
      <c r="G27" s="332">
        <f>SUM(G28:G42)</f>
        <v>1156115657.4400001</v>
      </c>
      <c r="H27" s="332">
        <f>SUM(H28:H42)</f>
        <v>1008449605.4</v>
      </c>
      <c r="I27" s="332">
        <f>SUM(I28:I42)</f>
        <v>147666052.03999999</v>
      </c>
      <c r="J27" s="332">
        <f>SUM(J28:J42)</f>
        <v>43054437.039999999</v>
      </c>
    </row>
    <row r="28" spans="1:17" ht="145.5" customHeight="1" x14ac:dyDescent="0.2">
      <c r="A28" s="311" t="s">
        <v>289</v>
      </c>
      <c r="B28" s="311" t="s">
        <v>290</v>
      </c>
      <c r="C28" s="311" t="s">
        <v>292</v>
      </c>
      <c r="D28" s="311" t="s">
        <v>293</v>
      </c>
      <c r="E28" s="267" t="s">
        <v>738</v>
      </c>
      <c r="F28" s="276" t="s">
        <v>706</v>
      </c>
      <c r="G28" s="276">
        <f t="shared" ref="G28:G38" si="4">H28+I28</f>
        <v>327628756</v>
      </c>
      <c r="H28" s="276">
        <f>'dod3'!E27</f>
        <v>281084390</v>
      </c>
      <c r="I28" s="276">
        <f>'dod3'!J27</f>
        <v>46544366</v>
      </c>
      <c r="J28" s="276">
        <f>'dod3'!K27</f>
        <v>6423946</v>
      </c>
    </row>
    <row r="29" spans="1:17" ht="366" x14ac:dyDescent="0.2">
      <c r="A29" s="311" t="s">
        <v>295</v>
      </c>
      <c r="B29" s="311" t="s">
        <v>291</v>
      </c>
      <c r="C29" s="311" t="s">
        <v>296</v>
      </c>
      <c r="D29" s="311" t="s">
        <v>294</v>
      </c>
      <c r="E29" s="267" t="s">
        <v>738</v>
      </c>
      <c r="F29" s="276" t="s">
        <v>706</v>
      </c>
      <c r="G29" s="276">
        <f t="shared" si="4"/>
        <v>625099112.43999994</v>
      </c>
      <c r="H29" s="276">
        <f>'dod3'!E28-H30-H31</f>
        <v>555889728.39999998</v>
      </c>
      <c r="I29" s="276">
        <f>'dod3'!J28-I30-I31</f>
        <v>69209384.039999992</v>
      </c>
      <c r="J29" s="276">
        <f>'dod3'!K28-J30-J31</f>
        <v>27262024.039999999</v>
      </c>
    </row>
    <row r="30" spans="1:17" ht="366" x14ac:dyDescent="0.2">
      <c r="A30" s="311" t="s">
        <v>295</v>
      </c>
      <c r="B30" s="311" t="s">
        <v>291</v>
      </c>
      <c r="C30" s="311" t="s">
        <v>296</v>
      </c>
      <c r="D30" s="311" t="s">
        <v>294</v>
      </c>
      <c r="E30" s="267" t="s">
        <v>739</v>
      </c>
      <c r="F30" s="330" t="s">
        <v>697</v>
      </c>
      <c r="G30" s="276">
        <f t="shared" si="4"/>
        <v>4532500</v>
      </c>
      <c r="H30" s="276">
        <v>4532500</v>
      </c>
      <c r="I30" s="276"/>
      <c r="J30" s="276"/>
    </row>
    <row r="31" spans="1:17" ht="366" x14ac:dyDescent="0.2">
      <c r="A31" s="311" t="s">
        <v>295</v>
      </c>
      <c r="B31" s="311" t="s">
        <v>291</v>
      </c>
      <c r="C31" s="311" t="s">
        <v>296</v>
      </c>
      <c r="D31" s="311" t="s">
        <v>294</v>
      </c>
      <c r="E31" s="267" t="s">
        <v>733</v>
      </c>
      <c r="F31" s="265" t="s">
        <v>732</v>
      </c>
      <c r="G31" s="276">
        <f t="shared" si="4"/>
        <v>399644</v>
      </c>
      <c r="H31" s="276">
        <f>(8920+49900+70680)+17500</f>
        <v>147000</v>
      </c>
      <c r="I31" s="276">
        <f>(69030+130614+70500)-17500</f>
        <v>252644</v>
      </c>
      <c r="J31" s="276">
        <f>(69030+130614+70500)-17500</f>
        <v>252644</v>
      </c>
    </row>
    <row r="32" spans="1:17" ht="366" x14ac:dyDescent="0.2">
      <c r="A32" s="311" t="s">
        <v>299</v>
      </c>
      <c r="B32" s="311" t="s">
        <v>298</v>
      </c>
      <c r="C32" s="311" t="s">
        <v>300</v>
      </c>
      <c r="D32" s="311" t="s">
        <v>32</v>
      </c>
      <c r="E32" s="267" t="s">
        <v>738</v>
      </c>
      <c r="F32" s="276" t="s">
        <v>706</v>
      </c>
      <c r="G32" s="276">
        <f t="shared" si="4"/>
        <v>16831878</v>
      </c>
      <c r="H32" s="276">
        <f>'dod3'!E29-H33</f>
        <v>16742878</v>
      </c>
      <c r="I32" s="276">
        <f>'dod3'!J29-I33</f>
        <v>89000</v>
      </c>
      <c r="J32" s="276">
        <f>'dod3'!K29-J33</f>
        <v>39000</v>
      </c>
    </row>
    <row r="33" spans="1:13" ht="366" x14ac:dyDescent="0.2">
      <c r="A33" s="311" t="s">
        <v>299</v>
      </c>
      <c r="B33" s="311" t="s">
        <v>298</v>
      </c>
      <c r="C33" s="311" t="s">
        <v>300</v>
      </c>
      <c r="D33" s="311" t="s">
        <v>32</v>
      </c>
      <c r="E33" s="267" t="s">
        <v>739</v>
      </c>
      <c r="F33" s="330" t="s">
        <v>697</v>
      </c>
      <c r="G33" s="276">
        <f t="shared" si="4"/>
        <v>20000</v>
      </c>
      <c r="H33" s="276">
        <v>20000</v>
      </c>
      <c r="I33" s="276"/>
      <c r="J33" s="276"/>
    </row>
    <row r="34" spans="1:13" ht="183" x14ac:dyDescent="0.2">
      <c r="A34" s="311" t="s">
        <v>301</v>
      </c>
      <c r="B34" s="311" t="s">
        <v>282</v>
      </c>
      <c r="C34" s="311" t="s">
        <v>270</v>
      </c>
      <c r="D34" s="311" t="s">
        <v>33</v>
      </c>
      <c r="E34" s="267" t="s">
        <v>738</v>
      </c>
      <c r="F34" s="276" t="s">
        <v>706</v>
      </c>
      <c r="G34" s="276">
        <f t="shared" si="4"/>
        <v>38273001</v>
      </c>
      <c r="H34" s="276">
        <f>'dod3'!E30-H35</f>
        <v>29321331</v>
      </c>
      <c r="I34" s="276">
        <f>'dod3'!J30-I35</f>
        <v>8951670</v>
      </c>
      <c r="J34" s="276">
        <f>'dod3'!K30-J35</f>
        <v>4238000</v>
      </c>
    </row>
    <row r="35" spans="1:13" ht="228.75" x14ac:dyDescent="0.2">
      <c r="A35" s="311" t="s">
        <v>301</v>
      </c>
      <c r="B35" s="311" t="s">
        <v>282</v>
      </c>
      <c r="C35" s="311" t="s">
        <v>270</v>
      </c>
      <c r="D35" s="311" t="s">
        <v>33</v>
      </c>
      <c r="E35" s="267" t="s">
        <v>733</v>
      </c>
      <c r="F35" s="265" t="s">
        <v>732</v>
      </c>
      <c r="G35" s="276">
        <f t="shared" si="4"/>
        <v>149982</v>
      </c>
      <c r="H35" s="276">
        <f>95167+54815</f>
        <v>149982</v>
      </c>
      <c r="I35" s="276"/>
      <c r="J35" s="276"/>
    </row>
    <row r="36" spans="1:13" ht="139.5" x14ac:dyDescent="0.2">
      <c r="A36" s="311" t="s">
        <v>302</v>
      </c>
      <c r="B36" s="311" t="s">
        <v>303</v>
      </c>
      <c r="C36" s="311" t="s">
        <v>304</v>
      </c>
      <c r="D36" s="311" t="s">
        <v>305</v>
      </c>
      <c r="E36" s="267" t="s">
        <v>738</v>
      </c>
      <c r="F36" s="276" t="s">
        <v>706</v>
      </c>
      <c r="G36" s="276">
        <f t="shared" si="4"/>
        <v>114171712</v>
      </c>
      <c r="H36" s="276">
        <f>'dod3'!E31</f>
        <v>96519104</v>
      </c>
      <c r="I36" s="276">
        <f>'dod3'!J31</f>
        <v>17652608</v>
      </c>
      <c r="J36" s="276">
        <f>'dod3'!K31</f>
        <v>274823</v>
      </c>
    </row>
    <row r="37" spans="1:13" ht="139.5" x14ac:dyDescent="0.2">
      <c r="A37" s="311" t="s">
        <v>307</v>
      </c>
      <c r="B37" s="311" t="s">
        <v>308</v>
      </c>
      <c r="C37" s="311" t="s">
        <v>309</v>
      </c>
      <c r="D37" s="311" t="s">
        <v>306</v>
      </c>
      <c r="E37" s="267" t="s">
        <v>738</v>
      </c>
      <c r="F37" s="276" t="s">
        <v>706</v>
      </c>
      <c r="G37" s="276">
        <f t="shared" si="4"/>
        <v>4691910</v>
      </c>
      <c r="H37" s="276">
        <f>'dod3'!E32</f>
        <v>4618170</v>
      </c>
      <c r="I37" s="276">
        <f>'dod3'!J32</f>
        <v>73740</v>
      </c>
      <c r="J37" s="276">
        <f>'dod3'!K32</f>
        <v>0</v>
      </c>
    </row>
    <row r="38" spans="1:13" ht="175.7" customHeight="1" x14ac:dyDescent="0.2">
      <c r="A38" s="310" t="s">
        <v>494</v>
      </c>
      <c r="B38" s="311" t="s">
        <v>495</v>
      </c>
      <c r="C38" s="311" t="s">
        <v>309</v>
      </c>
      <c r="D38" s="311" t="s">
        <v>493</v>
      </c>
      <c r="E38" s="267" t="s">
        <v>738</v>
      </c>
      <c r="F38" s="276" t="s">
        <v>706</v>
      </c>
      <c r="G38" s="276">
        <f t="shared" si="4"/>
        <v>15665380</v>
      </c>
      <c r="H38" s="276">
        <f>'dod3'!E33</f>
        <v>15312740</v>
      </c>
      <c r="I38" s="276">
        <f>'dod3'!J33</f>
        <v>352640</v>
      </c>
      <c r="J38" s="276">
        <f>'dod3'!K33</f>
        <v>24000</v>
      </c>
    </row>
    <row r="39" spans="1:13" ht="172.5" customHeight="1" x14ac:dyDescent="0.2">
      <c r="A39" s="310" t="s">
        <v>526</v>
      </c>
      <c r="B39" s="311" t="s">
        <v>527</v>
      </c>
      <c r="C39" s="311" t="s">
        <v>309</v>
      </c>
      <c r="D39" s="311" t="s">
        <v>525</v>
      </c>
      <c r="E39" s="267" t="s">
        <v>738</v>
      </c>
      <c r="F39" s="276" t="s">
        <v>706</v>
      </c>
      <c r="G39" s="276">
        <f>H39+I39</f>
        <v>150770</v>
      </c>
      <c r="H39" s="276">
        <f>'dod3'!E34</f>
        <v>150770</v>
      </c>
      <c r="I39" s="276">
        <f>'dod3'!J34</f>
        <v>0</v>
      </c>
      <c r="J39" s="276">
        <f>'dod3'!K34</f>
        <v>0</v>
      </c>
    </row>
    <row r="40" spans="1:13" ht="139.5" x14ac:dyDescent="0.2">
      <c r="A40" s="310" t="s">
        <v>808</v>
      </c>
      <c r="B40" s="310" t="s">
        <v>809</v>
      </c>
      <c r="C40" s="310" t="s">
        <v>309</v>
      </c>
      <c r="D40" s="311" t="s">
        <v>810</v>
      </c>
      <c r="E40" s="267" t="s">
        <v>738</v>
      </c>
      <c r="F40" s="276" t="s">
        <v>706</v>
      </c>
      <c r="G40" s="276">
        <f>H40+I40</f>
        <v>2236012</v>
      </c>
      <c r="H40" s="276">
        <f>'dod3'!E35</f>
        <v>2036012</v>
      </c>
      <c r="I40" s="276">
        <f>'dod3'!J35</f>
        <v>200000</v>
      </c>
      <c r="J40" s="276">
        <f>'dod3'!K35</f>
        <v>200000</v>
      </c>
    </row>
    <row r="41" spans="1:13" ht="366" x14ac:dyDescent="0.2">
      <c r="A41" s="311" t="s">
        <v>812</v>
      </c>
      <c r="B41" s="311" t="s">
        <v>813</v>
      </c>
      <c r="C41" s="311" t="s">
        <v>274</v>
      </c>
      <c r="D41" s="311" t="s">
        <v>811</v>
      </c>
      <c r="E41" s="267" t="s">
        <v>738</v>
      </c>
      <c r="F41" s="276" t="s">
        <v>706</v>
      </c>
      <c r="G41" s="276">
        <f>H41+I41</f>
        <v>1925000</v>
      </c>
      <c r="H41" s="276">
        <f>'dod3'!E36</f>
        <v>1925000</v>
      </c>
      <c r="I41" s="276">
        <f>'dod3'!J36</f>
        <v>0</v>
      </c>
      <c r="J41" s="276">
        <f>'dod3'!K36</f>
        <v>0</v>
      </c>
    </row>
    <row r="42" spans="1:13" ht="172.5" customHeight="1" x14ac:dyDescent="0.2">
      <c r="A42" s="311" t="s">
        <v>311</v>
      </c>
      <c r="B42" s="311" t="s">
        <v>312</v>
      </c>
      <c r="C42" s="311" t="s">
        <v>313</v>
      </c>
      <c r="D42" s="311" t="s">
        <v>67</v>
      </c>
      <c r="E42" s="267" t="s">
        <v>794</v>
      </c>
      <c r="F42" s="330" t="s">
        <v>795</v>
      </c>
      <c r="G42" s="276">
        <f t="shared" ref="G42" si="5">H42+I42</f>
        <v>4340000</v>
      </c>
      <c r="H42" s="276">
        <f>'dod3'!E37</f>
        <v>0</v>
      </c>
      <c r="I42" s="276">
        <f>'dod3'!J37</f>
        <v>4340000</v>
      </c>
      <c r="J42" s="276">
        <f>'dod3'!K37</f>
        <v>4340000</v>
      </c>
      <c r="K42" s="563"/>
      <c r="L42" s="438"/>
      <c r="M42" s="438"/>
    </row>
    <row r="43" spans="1:13" ht="135" x14ac:dyDescent="0.2">
      <c r="A43" s="331" t="s">
        <v>235</v>
      </c>
      <c r="B43" s="331"/>
      <c r="C43" s="331"/>
      <c r="D43" s="333" t="s">
        <v>36</v>
      </c>
      <c r="E43" s="331"/>
      <c r="F43" s="331"/>
      <c r="G43" s="331">
        <f>G44</f>
        <v>401464254.38</v>
      </c>
      <c r="H43" s="331">
        <f t="shared" ref="H43:J43" si="6">H44</f>
        <v>364178496.38</v>
      </c>
      <c r="I43" s="331">
        <f t="shared" si="6"/>
        <v>37285758</v>
      </c>
      <c r="J43" s="331">
        <f t="shared" si="6"/>
        <v>30689967</v>
      </c>
      <c r="K43" s="190" t="b">
        <f>H43='dod3'!E38-'dod3'!P40</f>
        <v>1</v>
      </c>
      <c r="L43" s="190" t="b">
        <f>I43='dod3'!J38</f>
        <v>1</v>
      </c>
      <c r="M43" s="191" t="b">
        <f>J43='dod3'!K38</f>
        <v>1</v>
      </c>
    </row>
    <row r="44" spans="1:13" ht="135" x14ac:dyDescent="0.2">
      <c r="A44" s="332" t="s">
        <v>236</v>
      </c>
      <c r="B44" s="332"/>
      <c r="C44" s="332"/>
      <c r="D44" s="332" t="s">
        <v>59</v>
      </c>
      <c r="E44" s="332"/>
      <c r="F44" s="332"/>
      <c r="G44" s="332">
        <f>SUM(G45:G58)</f>
        <v>401464254.38</v>
      </c>
      <c r="H44" s="332">
        <f>SUM(H45:H58)</f>
        <v>364178496.38</v>
      </c>
      <c r="I44" s="332">
        <f>SUM(I45:I58)</f>
        <v>37285758</v>
      </c>
      <c r="J44" s="332">
        <f>SUM(J45:J58)</f>
        <v>30689967</v>
      </c>
    </row>
    <row r="45" spans="1:13" ht="139.5" x14ac:dyDescent="0.2">
      <c r="A45" s="311" t="s">
        <v>314</v>
      </c>
      <c r="B45" s="311" t="s">
        <v>310</v>
      </c>
      <c r="C45" s="311" t="s">
        <v>315</v>
      </c>
      <c r="D45" s="311" t="s">
        <v>37</v>
      </c>
      <c r="E45" s="276" t="s">
        <v>880</v>
      </c>
      <c r="F45" s="276" t="s">
        <v>703</v>
      </c>
      <c r="G45" s="276">
        <f>H45+I45</f>
        <v>223178126</v>
      </c>
      <c r="H45" s="276">
        <f>'dod3'!E41-H46</f>
        <v>201134712</v>
      </c>
      <c r="I45" s="276">
        <f>'dod3'!J41</f>
        <v>22043414</v>
      </c>
      <c r="J45" s="276">
        <f>'dod3'!K41</f>
        <v>19580714</v>
      </c>
    </row>
    <row r="46" spans="1:13" s="249" customFormat="1" ht="228.75" x14ac:dyDescent="0.2">
      <c r="A46" s="311" t="s">
        <v>314</v>
      </c>
      <c r="B46" s="311" t="s">
        <v>310</v>
      </c>
      <c r="C46" s="311" t="s">
        <v>315</v>
      </c>
      <c r="D46" s="311" t="s">
        <v>37</v>
      </c>
      <c r="E46" s="267" t="s">
        <v>733</v>
      </c>
      <c r="F46" s="265" t="s">
        <v>732</v>
      </c>
      <c r="G46" s="276">
        <f>H46+I46</f>
        <v>82930</v>
      </c>
      <c r="H46" s="276">
        <f>82930</f>
        <v>82930</v>
      </c>
      <c r="I46" s="276">
        <v>0</v>
      </c>
      <c r="J46" s="276">
        <v>0</v>
      </c>
    </row>
    <row r="47" spans="1:13" ht="139.5" x14ac:dyDescent="0.2">
      <c r="A47" s="311" t="s">
        <v>316</v>
      </c>
      <c r="B47" s="311" t="s">
        <v>317</v>
      </c>
      <c r="C47" s="311" t="s">
        <v>318</v>
      </c>
      <c r="D47" s="311" t="s">
        <v>319</v>
      </c>
      <c r="E47" s="276" t="s">
        <v>880</v>
      </c>
      <c r="F47" s="276" t="s">
        <v>703</v>
      </c>
      <c r="G47" s="276">
        <f t="shared" ref="G47:G54" si="7">H47+I47</f>
        <v>60355591</v>
      </c>
      <c r="H47" s="276">
        <f>'dod3'!E42</f>
        <v>59883500</v>
      </c>
      <c r="I47" s="276">
        <f>'dod3'!J42</f>
        <v>472091</v>
      </c>
      <c r="J47" s="276">
        <f>'dod3'!K42</f>
        <v>126000</v>
      </c>
    </row>
    <row r="48" spans="1:13" ht="172.5" customHeight="1" x14ac:dyDescent="0.2">
      <c r="A48" s="311" t="s">
        <v>320</v>
      </c>
      <c r="B48" s="311" t="s">
        <v>321</v>
      </c>
      <c r="C48" s="311" t="s">
        <v>322</v>
      </c>
      <c r="D48" s="311" t="s">
        <v>541</v>
      </c>
      <c r="E48" s="276" t="s">
        <v>880</v>
      </c>
      <c r="F48" s="276" t="s">
        <v>703</v>
      </c>
      <c r="G48" s="276">
        <f t="shared" si="7"/>
        <v>64331670</v>
      </c>
      <c r="H48" s="276">
        <f>'dod3'!E43</f>
        <v>61625370</v>
      </c>
      <c r="I48" s="276">
        <f>'dod3'!J43</f>
        <v>2706300</v>
      </c>
      <c r="J48" s="276">
        <f>'dod3'!K43</f>
        <v>840600</v>
      </c>
    </row>
    <row r="49" spans="1:13" ht="172.5" customHeight="1" x14ac:dyDescent="0.2">
      <c r="A49" s="311" t="s">
        <v>323</v>
      </c>
      <c r="B49" s="311" t="s">
        <v>324</v>
      </c>
      <c r="C49" s="311" t="s">
        <v>325</v>
      </c>
      <c r="D49" s="311" t="s">
        <v>326</v>
      </c>
      <c r="E49" s="276" t="s">
        <v>880</v>
      </c>
      <c r="F49" s="276" t="s">
        <v>703</v>
      </c>
      <c r="G49" s="276">
        <f t="shared" si="7"/>
        <v>12671250</v>
      </c>
      <c r="H49" s="276">
        <f>'dod3'!E44-H50</f>
        <v>9171950</v>
      </c>
      <c r="I49" s="276">
        <f>'dod3'!J44-I50</f>
        <v>3499300</v>
      </c>
      <c r="J49" s="276">
        <f>'dod3'!K44-J50</f>
        <v>1600000</v>
      </c>
    </row>
    <row r="50" spans="1:13" ht="320.25" x14ac:dyDescent="0.2">
      <c r="A50" s="311" t="s">
        <v>323</v>
      </c>
      <c r="B50" s="311" t="s">
        <v>324</v>
      </c>
      <c r="C50" s="311" t="s">
        <v>325</v>
      </c>
      <c r="D50" s="311" t="s">
        <v>326</v>
      </c>
      <c r="E50" s="267" t="s">
        <v>925</v>
      </c>
      <c r="F50" s="330" t="s">
        <v>698</v>
      </c>
      <c r="G50" s="276">
        <f t="shared" si="7"/>
        <v>700000</v>
      </c>
      <c r="H50" s="276">
        <f>700000-649000+649000</f>
        <v>700000</v>
      </c>
      <c r="I50" s="276"/>
      <c r="J50" s="276"/>
    </row>
    <row r="51" spans="1:13" ht="183" x14ac:dyDescent="0.2">
      <c r="A51" s="311" t="s">
        <v>327</v>
      </c>
      <c r="B51" s="310" t="s">
        <v>328</v>
      </c>
      <c r="C51" s="310" t="s">
        <v>542</v>
      </c>
      <c r="D51" s="311" t="s">
        <v>329</v>
      </c>
      <c r="E51" s="276" t="s">
        <v>880</v>
      </c>
      <c r="F51" s="276" t="s">
        <v>703</v>
      </c>
      <c r="G51" s="276">
        <f t="shared" si="7"/>
        <v>8952218</v>
      </c>
      <c r="H51" s="276">
        <f>'dod3'!E45</f>
        <v>8952218</v>
      </c>
      <c r="I51" s="276">
        <f>'dod3'!J45</f>
        <v>0</v>
      </c>
      <c r="J51" s="276">
        <f>'dod3'!K45</f>
        <v>0</v>
      </c>
    </row>
    <row r="52" spans="1:13" ht="183" x14ac:dyDescent="0.2">
      <c r="A52" s="311" t="s">
        <v>581</v>
      </c>
      <c r="B52" s="311" t="s">
        <v>582</v>
      </c>
      <c r="C52" s="310" t="s">
        <v>330</v>
      </c>
      <c r="D52" s="291" t="s">
        <v>583</v>
      </c>
      <c r="E52" s="276" t="s">
        <v>880</v>
      </c>
      <c r="F52" s="276" t="s">
        <v>703</v>
      </c>
      <c r="G52" s="276">
        <f t="shared" si="7"/>
        <v>13400746.379999999</v>
      </c>
      <c r="H52" s="276">
        <f>'dod3'!E46</f>
        <v>13400746.379999999</v>
      </c>
      <c r="I52" s="276"/>
      <c r="J52" s="276"/>
    </row>
    <row r="53" spans="1:13" ht="183" x14ac:dyDescent="0.2">
      <c r="A53" s="311" t="s">
        <v>586</v>
      </c>
      <c r="B53" s="311" t="s">
        <v>585</v>
      </c>
      <c r="C53" s="310" t="s">
        <v>330</v>
      </c>
      <c r="D53" s="291" t="s">
        <v>584</v>
      </c>
      <c r="E53" s="276" t="s">
        <v>880</v>
      </c>
      <c r="F53" s="276" t="s">
        <v>703</v>
      </c>
      <c r="G53" s="276">
        <f t="shared" si="7"/>
        <v>1734200</v>
      </c>
      <c r="H53" s="276">
        <f>'dod3'!E47</f>
        <v>1734200</v>
      </c>
      <c r="I53" s="276"/>
      <c r="J53" s="276"/>
    </row>
    <row r="54" spans="1:13" s="119" customFormat="1" ht="160.5" customHeight="1" x14ac:dyDescent="0.2">
      <c r="A54" s="311" t="s">
        <v>498</v>
      </c>
      <c r="B54" s="311" t="s">
        <v>500</v>
      </c>
      <c r="C54" s="310" t="s">
        <v>330</v>
      </c>
      <c r="D54" s="291" t="s">
        <v>496</v>
      </c>
      <c r="E54" s="276" t="s">
        <v>880</v>
      </c>
      <c r="F54" s="276" t="s">
        <v>703</v>
      </c>
      <c r="G54" s="276">
        <f t="shared" si="7"/>
        <v>2546374</v>
      </c>
      <c r="H54" s="276">
        <f>'dod3'!E48</f>
        <v>2416670</v>
      </c>
      <c r="I54" s="276">
        <f>'dod3'!J48</f>
        <v>129704</v>
      </c>
      <c r="J54" s="276">
        <f>'dod3'!K48</f>
        <v>107704</v>
      </c>
    </row>
    <row r="55" spans="1:13" s="119" customFormat="1" ht="166.7" customHeight="1" x14ac:dyDescent="0.2">
      <c r="A55" s="311" t="s">
        <v>499</v>
      </c>
      <c r="B55" s="311" t="s">
        <v>501</v>
      </c>
      <c r="C55" s="310" t="s">
        <v>330</v>
      </c>
      <c r="D55" s="291" t="s">
        <v>497</v>
      </c>
      <c r="E55" s="276" t="s">
        <v>880</v>
      </c>
      <c r="F55" s="276" t="s">
        <v>703</v>
      </c>
      <c r="G55" s="276">
        <f>H55+I55</f>
        <v>4926200</v>
      </c>
      <c r="H55" s="276">
        <f>'dod3'!E49</f>
        <v>4926200</v>
      </c>
      <c r="I55" s="276">
        <f>'dod3'!J49</f>
        <v>0</v>
      </c>
      <c r="J55" s="276">
        <f>'dod3'!K49</f>
        <v>0</v>
      </c>
    </row>
    <row r="56" spans="1:13" s="119" customFormat="1" ht="166.7" customHeight="1" x14ac:dyDescent="0.2">
      <c r="A56" s="311" t="s">
        <v>874</v>
      </c>
      <c r="B56" s="311" t="s">
        <v>288</v>
      </c>
      <c r="C56" s="311" t="s">
        <v>251</v>
      </c>
      <c r="D56" s="311" t="s">
        <v>57</v>
      </c>
      <c r="E56" s="276" t="s">
        <v>880</v>
      </c>
      <c r="F56" s="276" t="s">
        <v>703</v>
      </c>
      <c r="G56" s="276">
        <f>H56+I56</f>
        <v>6674542</v>
      </c>
      <c r="H56" s="276"/>
      <c r="I56" s="276">
        <f>'dod3'!J50-I57</f>
        <v>6674542</v>
      </c>
      <c r="J56" s="276">
        <f>'dod3'!K50-J57</f>
        <v>6674542</v>
      </c>
    </row>
    <row r="57" spans="1:13" s="119" customFormat="1" ht="232.5" customHeight="1" x14ac:dyDescent="0.2">
      <c r="A57" s="311" t="s">
        <v>874</v>
      </c>
      <c r="B57" s="311" t="s">
        <v>288</v>
      </c>
      <c r="C57" s="311" t="s">
        <v>251</v>
      </c>
      <c r="D57" s="311" t="s">
        <v>57</v>
      </c>
      <c r="E57" s="267" t="s">
        <v>733</v>
      </c>
      <c r="F57" s="265" t="s">
        <v>732</v>
      </c>
      <c r="G57" s="276">
        <f>H57+I57</f>
        <v>215650</v>
      </c>
      <c r="H57" s="276"/>
      <c r="I57" s="276">
        <v>215650</v>
      </c>
      <c r="J57" s="276">
        <v>215650</v>
      </c>
    </row>
    <row r="58" spans="1:13" s="119" customFormat="1" ht="166.7" customHeight="1" x14ac:dyDescent="0.2">
      <c r="A58" s="311" t="s">
        <v>876</v>
      </c>
      <c r="B58" s="311" t="s">
        <v>591</v>
      </c>
      <c r="C58" s="311" t="s">
        <v>71</v>
      </c>
      <c r="D58" s="311" t="s">
        <v>592</v>
      </c>
      <c r="E58" s="276" t="s">
        <v>880</v>
      </c>
      <c r="F58" s="276" t="s">
        <v>703</v>
      </c>
      <c r="G58" s="276">
        <f>H58+I58</f>
        <v>1694757</v>
      </c>
      <c r="H58" s="276">
        <f>'dod3'!E51</f>
        <v>150000</v>
      </c>
      <c r="I58" s="276">
        <f>'dod3'!J51</f>
        <v>1544757</v>
      </c>
      <c r="J58" s="276">
        <f>'dod3'!K51</f>
        <v>1544757</v>
      </c>
    </row>
    <row r="59" spans="1:13" ht="225" x14ac:dyDescent="0.2">
      <c r="A59" s="331" t="s">
        <v>237</v>
      </c>
      <c r="B59" s="331"/>
      <c r="C59" s="331"/>
      <c r="D59" s="333" t="s">
        <v>60</v>
      </c>
      <c r="E59" s="331"/>
      <c r="F59" s="331"/>
      <c r="G59" s="331">
        <f>G60</f>
        <v>674335629</v>
      </c>
      <c r="H59" s="331">
        <f t="shared" ref="H59:J59" si="8">H60</f>
        <v>664251185</v>
      </c>
      <c r="I59" s="331">
        <f t="shared" si="8"/>
        <v>10084444</v>
      </c>
      <c r="J59" s="331">
        <f t="shared" si="8"/>
        <v>9975044</v>
      </c>
      <c r="K59" s="190" t="b">
        <f>H59='dod3'!E53-'dod3'!E54</f>
        <v>1</v>
      </c>
      <c r="L59" s="190" t="b">
        <f>I59='dod3'!J52-'dod3'!J54-'dod3'!Q104-'dod3'!J90-'dod3'!J93-'dod3'!J102+I61</f>
        <v>1</v>
      </c>
      <c r="M59" s="191" t="b">
        <f>J59='dod3'!K53-'dod3'!K54-'dod3'!K90-'dod3'!K93-'dod3'!K102+J61</f>
        <v>1</v>
      </c>
    </row>
    <row r="60" spans="1:13" ht="225" x14ac:dyDescent="0.2">
      <c r="A60" s="332" t="s">
        <v>238</v>
      </c>
      <c r="B60" s="332"/>
      <c r="C60" s="332"/>
      <c r="D60" s="332" t="s">
        <v>61</v>
      </c>
      <c r="E60" s="332"/>
      <c r="F60" s="332"/>
      <c r="G60" s="332">
        <f>SUM(G61:G106)</f>
        <v>674335629</v>
      </c>
      <c r="H60" s="332">
        <f>SUM(H61:H106)</f>
        <v>664251185</v>
      </c>
      <c r="I60" s="332">
        <f>SUM(I61:I106)</f>
        <v>10084444</v>
      </c>
      <c r="J60" s="332">
        <f>SUM(J61:J106)</f>
        <v>9975044</v>
      </c>
      <c r="L60" s="148"/>
    </row>
    <row r="61" spans="1:13" s="433" customFormat="1" ht="228.75" x14ac:dyDescent="0.2">
      <c r="A61" s="434" t="s">
        <v>711</v>
      </c>
      <c r="B61" s="434" t="s">
        <v>336</v>
      </c>
      <c r="C61" s="434" t="s">
        <v>334</v>
      </c>
      <c r="D61" s="434" t="s">
        <v>335</v>
      </c>
      <c r="E61" s="267" t="s">
        <v>727</v>
      </c>
      <c r="F61" s="276" t="s">
        <v>726</v>
      </c>
      <c r="G61" s="262">
        <f t="shared" ref="G61:G62" si="9">H61+I61</f>
        <v>49000</v>
      </c>
      <c r="H61" s="435">
        <v>0</v>
      </c>
      <c r="I61" s="435">
        <v>49000</v>
      </c>
      <c r="J61" s="365">
        <v>49000</v>
      </c>
      <c r="L61" s="148"/>
    </row>
    <row r="62" spans="1:13" ht="183" x14ac:dyDescent="0.2">
      <c r="A62" s="361" t="s">
        <v>351</v>
      </c>
      <c r="B62" s="361" t="s">
        <v>352</v>
      </c>
      <c r="C62" s="361" t="s">
        <v>297</v>
      </c>
      <c r="D62" s="362" t="s">
        <v>350</v>
      </c>
      <c r="E62" s="261" t="s">
        <v>739</v>
      </c>
      <c r="F62" s="363" t="s">
        <v>697</v>
      </c>
      <c r="G62" s="262">
        <f t="shared" si="9"/>
        <v>74918555.920000002</v>
      </c>
      <c r="H62" s="364">
        <f>'dod3'!E55</f>
        <v>74918555.920000002</v>
      </c>
      <c r="I62" s="364">
        <f>'dod3'!J55</f>
        <v>0</v>
      </c>
      <c r="J62" s="365">
        <f>'dod3'!K55</f>
        <v>0</v>
      </c>
    </row>
    <row r="63" spans="1:13" ht="183" x14ac:dyDescent="0.2">
      <c r="A63" s="366" t="s">
        <v>370</v>
      </c>
      <c r="B63" s="361" t="s">
        <v>371</v>
      </c>
      <c r="C63" s="361" t="s">
        <v>79</v>
      </c>
      <c r="D63" s="260" t="s">
        <v>8</v>
      </c>
      <c r="E63" s="261" t="s">
        <v>739</v>
      </c>
      <c r="F63" s="363" t="s">
        <v>697</v>
      </c>
      <c r="G63" s="262">
        <f>H63+I63</f>
        <v>73735644.079999998</v>
      </c>
      <c r="H63" s="364">
        <f>'dod3'!E56</f>
        <v>73735644.079999998</v>
      </c>
      <c r="I63" s="364">
        <f>'dod3'!J56</f>
        <v>0</v>
      </c>
      <c r="J63" s="365">
        <f>'dod3'!K56</f>
        <v>0</v>
      </c>
    </row>
    <row r="64" spans="1:13" ht="274.5" x14ac:dyDescent="0.2">
      <c r="A64" s="260" t="s">
        <v>373</v>
      </c>
      <c r="B64" s="260" t="s">
        <v>374</v>
      </c>
      <c r="C64" s="260" t="s">
        <v>297</v>
      </c>
      <c r="D64" s="367" t="s">
        <v>372</v>
      </c>
      <c r="E64" s="261" t="s">
        <v>739</v>
      </c>
      <c r="F64" s="363" t="s">
        <v>697</v>
      </c>
      <c r="G64" s="262">
        <f t="shared" ref="G64" si="10">H64+I64</f>
        <v>3000</v>
      </c>
      <c r="H64" s="364">
        <f>'dod3'!E57</f>
        <v>3000</v>
      </c>
      <c r="I64" s="364">
        <f>'dod3'!J57</f>
        <v>0</v>
      </c>
      <c r="J64" s="365">
        <f>'dod3'!K57</f>
        <v>0</v>
      </c>
    </row>
    <row r="65" spans="1:10" ht="228.75" x14ac:dyDescent="0.2">
      <c r="A65" s="260" t="s">
        <v>375</v>
      </c>
      <c r="B65" s="260" t="s">
        <v>376</v>
      </c>
      <c r="C65" s="367">
        <v>1060</v>
      </c>
      <c r="D65" s="368" t="s">
        <v>19</v>
      </c>
      <c r="E65" s="261" t="s">
        <v>739</v>
      </c>
      <c r="F65" s="363" t="s">
        <v>697</v>
      </c>
      <c r="G65" s="262">
        <f t="shared" ref="G65:G85" si="11">H65+I65</f>
        <v>46300</v>
      </c>
      <c r="H65" s="364">
        <f>'dod3'!E58</f>
        <v>46300</v>
      </c>
      <c r="I65" s="364">
        <f>'dod3'!J58</f>
        <v>0</v>
      </c>
      <c r="J65" s="365">
        <f>'dod3'!K58</f>
        <v>0</v>
      </c>
    </row>
    <row r="66" spans="1:10" s="119" customFormat="1" ht="183" x14ac:dyDescent="0.2">
      <c r="A66" s="361" t="s">
        <v>401</v>
      </c>
      <c r="B66" s="361" t="s">
        <v>402</v>
      </c>
      <c r="C66" s="361" t="s">
        <v>297</v>
      </c>
      <c r="D66" s="362" t="s">
        <v>403</v>
      </c>
      <c r="E66" s="261" t="s">
        <v>739</v>
      </c>
      <c r="F66" s="363" t="s">
        <v>697</v>
      </c>
      <c r="G66" s="262">
        <f t="shared" si="11"/>
        <v>612970</v>
      </c>
      <c r="H66" s="364">
        <f>'dod3'!E59</f>
        <v>512970</v>
      </c>
      <c r="I66" s="364">
        <f>'dod3'!J59</f>
        <v>100000</v>
      </c>
      <c r="J66" s="364">
        <f>'dod3'!K59</f>
        <v>100000</v>
      </c>
    </row>
    <row r="67" spans="1:10" s="119" customFormat="1" ht="183" x14ac:dyDescent="0.2">
      <c r="A67" s="260" t="s">
        <v>404</v>
      </c>
      <c r="B67" s="260" t="s">
        <v>405</v>
      </c>
      <c r="C67" s="260" t="s">
        <v>298</v>
      </c>
      <c r="D67" s="260" t="s">
        <v>16</v>
      </c>
      <c r="E67" s="261" t="s">
        <v>739</v>
      </c>
      <c r="F67" s="363" t="s">
        <v>697</v>
      </c>
      <c r="G67" s="262">
        <f t="shared" si="11"/>
        <v>1410000</v>
      </c>
      <c r="H67" s="262">
        <f>'dod3'!E60</f>
        <v>1410000</v>
      </c>
      <c r="I67" s="262">
        <f>'dod3'!J60</f>
        <v>0</v>
      </c>
      <c r="J67" s="369">
        <f>'dod3'!K60</f>
        <v>0</v>
      </c>
    </row>
    <row r="68" spans="1:10" s="119" customFormat="1" ht="183" x14ac:dyDescent="0.2">
      <c r="A68" s="260" t="s">
        <v>407</v>
      </c>
      <c r="B68" s="260" t="s">
        <v>408</v>
      </c>
      <c r="C68" s="260" t="s">
        <v>298</v>
      </c>
      <c r="D68" s="361" t="s">
        <v>17</v>
      </c>
      <c r="E68" s="261" t="s">
        <v>739</v>
      </c>
      <c r="F68" s="363" t="s">
        <v>697</v>
      </c>
      <c r="G68" s="262">
        <f t="shared" si="11"/>
        <v>8000000</v>
      </c>
      <c r="H68" s="262">
        <f>'dod3'!E61</f>
        <v>8000000</v>
      </c>
      <c r="I68" s="262">
        <f>'dod3'!J61</f>
        <v>0</v>
      </c>
      <c r="J68" s="262">
        <f>'dod3'!K61</f>
        <v>0</v>
      </c>
    </row>
    <row r="69" spans="1:10" s="119" customFormat="1" ht="183" x14ac:dyDescent="0.2">
      <c r="A69" s="361" t="s">
        <v>409</v>
      </c>
      <c r="B69" s="361" t="s">
        <v>406</v>
      </c>
      <c r="C69" s="361" t="s">
        <v>298</v>
      </c>
      <c r="D69" s="361" t="s">
        <v>18</v>
      </c>
      <c r="E69" s="261" t="s">
        <v>739</v>
      </c>
      <c r="F69" s="363" t="s">
        <v>697</v>
      </c>
      <c r="G69" s="262">
        <f t="shared" si="11"/>
        <v>600000</v>
      </c>
      <c r="H69" s="262">
        <f>'dod3'!E62</f>
        <v>600000</v>
      </c>
      <c r="I69" s="262">
        <f>'dod3'!J62</f>
        <v>0</v>
      </c>
      <c r="J69" s="262">
        <f>'dod3'!K62</f>
        <v>0</v>
      </c>
    </row>
    <row r="70" spans="1:10" s="119" customFormat="1" ht="183" x14ac:dyDescent="0.2">
      <c r="A70" s="361" t="s">
        <v>410</v>
      </c>
      <c r="B70" s="361" t="s">
        <v>411</v>
      </c>
      <c r="C70" s="361" t="s">
        <v>298</v>
      </c>
      <c r="D70" s="361" t="s">
        <v>21</v>
      </c>
      <c r="E70" s="261" t="s">
        <v>739</v>
      </c>
      <c r="F70" s="363" t="s">
        <v>697</v>
      </c>
      <c r="G70" s="262">
        <f t="shared" si="11"/>
        <v>89000000</v>
      </c>
      <c r="H70" s="262">
        <f>'dod3'!E63</f>
        <v>89000000</v>
      </c>
      <c r="I70" s="262">
        <f>'dod3'!J63</f>
        <v>0</v>
      </c>
      <c r="J70" s="262">
        <f>'dod3'!K63</f>
        <v>0</v>
      </c>
    </row>
    <row r="71" spans="1:10" s="119" customFormat="1" ht="183" x14ac:dyDescent="0.2">
      <c r="A71" s="260" t="s">
        <v>361</v>
      </c>
      <c r="B71" s="260" t="s">
        <v>353</v>
      </c>
      <c r="C71" s="260" t="s">
        <v>274</v>
      </c>
      <c r="D71" s="260" t="s">
        <v>10</v>
      </c>
      <c r="E71" s="261" t="s">
        <v>739</v>
      </c>
      <c r="F71" s="363" t="s">
        <v>697</v>
      </c>
      <c r="G71" s="262">
        <f t="shared" si="11"/>
        <v>2814000</v>
      </c>
      <c r="H71" s="262">
        <f>'dod3'!E64</f>
        <v>2814000</v>
      </c>
      <c r="I71" s="262">
        <f>'dod3'!J64</f>
        <v>0</v>
      </c>
      <c r="J71" s="262">
        <f>'dod3'!K64</f>
        <v>0</v>
      </c>
    </row>
    <row r="72" spans="1:10" s="119" customFormat="1" ht="183" x14ac:dyDescent="0.2">
      <c r="A72" s="260" t="s">
        <v>362</v>
      </c>
      <c r="B72" s="260" t="s">
        <v>354</v>
      </c>
      <c r="C72" s="260" t="s">
        <v>274</v>
      </c>
      <c r="D72" s="260" t="s">
        <v>360</v>
      </c>
      <c r="E72" s="261" t="s">
        <v>739</v>
      </c>
      <c r="F72" s="363" t="s">
        <v>697</v>
      </c>
      <c r="G72" s="262">
        <f t="shared" si="11"/>
        <v>571520</v>
      </c>
      <c r="H72" s="262">
        <f>'dod3'!E65</f>
        <v>571520</v>
      </c>
      <c r="I72" s="262">
        <f>'dod3'!J65</f>
        <v>0</v>
      </c>
      <c r="J72" s="262">
        <f>'dod3'!K65</f>
        <v>0</v>
      </c>
    </row>
    <row r="73" spans="1:10" s="119" customFormat="1" ht="183" x14ac:dyDescent="0.2">
      <c r="A73" s="260" t="s">
        <v>363</v>
      </c>
      <c r="B73" s="260" t="s">
        <v>355</v>
      </c>
      <c r="C73" s="260" t="s">
        <v>274</v>
      </c>
      <c r="D73" s="260" t="s">
        <v>11</v>
      </c>
      <c r="E73" s="261" t="s">
        <v>739</v>
      </c>
      <c r="F73" s="363" t="s">
        <v>697</v>
      </c>
      <c r="G73" s="262">
        <f t="shared" si="11"/>
        <v>135281196</v>
      </c>
      <c r="H73" s="262">
        <f>'dod3'!E66</f>
        <v>135281196</v>
      </c>
      <c r="I73" s="262">
        <f>'dod3'!J66</f>
        <v>0</v>
      </c>
      <c r="J73" s="262">
        <f>'dod3'!K66</f>
        <v>0</v>
      </c>
    </row>
    <row r="74" spans="1:10" s="119" customFormat="1" ht="183" x14ac:dyDescent="0.2">
      <c r="A74" s="260" t="s">
        <v>364</v>
      </c>
      <c r="B74" s="260" t="s">
        <v>356</v>
      </c>
      <c r="C74" s="260" t="s">
        <v>274</v>
      </c>
      <c r="D74" s="260" t="s">
        <v>12</v>
      </c>
      <c r="E74" s="261" t="s">
        <v>739</v>
      </c>
      <c r="F74" s="363" t="s">
        <v>697</v>
      </c>
      <c r="G74" s="262">
        <f t="shared" si="11"/>
        <v>4266000</v>
      </c>
      <c r="H74" s="262">
        <f>'dod3'!E67</f>
        <v>4266000</v>
      </c>
      <c r="I74" s="262">
        <f>'dod3'!J67</f>
        <v>0</v>
      </c>
      <c r="J74" s="262">
        <f>'dod3'!K67</f>
        <v>0</v>
      </c>
    </row>
    <row r="75" spans="1:10" s="119" customFormat="1" ht="183" x14ac:dyDescent="0.2">
      <c r="A75" s="260" t="s">
        <v>365</v>
      </c>
      <c r="B75" s="260" t="s">
        <v>357</v>
      </c>
      <c r="C75" s="260" t="s">
        <v>274</v>
      </c>
      <c r="D75" s="260" t="s">
        <v>13</v>
      </c>
      <c r="E75" s="261" t="s">
        <v>739</v>
      </c>
      <c r="F75" s="363" t="s">
        <v>697</v>
      </c>
      <c r="G75" s="262">
        <f t="shared" si="11"/>
        <v>27062400</v>
      </c>
      <c r="H75" s="262">
        <f>'dod3'!E68</f>
        <v>27062400</v>
      </c>
      <c r="I75" s="262">
        <f>'dod3'!J68</f>
        <v>0</v>
      </c>
      <c r="J75" s="262">
        <f>'dod3'!K68</f>
        <v>0</v>
      </c>
    </row>
    <row r="76" spans="1:10" s="119" customFormat="1" ht="183" x14ac:dyDescent="0.2">
      <c r="A76" s="260" t="s">
        <v>366</v>
      </c>
      <c r="B76" s="260" t="s">
        <v>358</v>
      </c>
      <c r="C76" s="260" t="s">
        <v>274</v>
      </c>
      <c r="D76" s="260" t="s">
        <v>14</v>
      </c>
      <c r="E76" s="261" t="s">
        <v>739</v>
      </c>
      <c r="F76" s="363" t="s">
        <v>697</v>
      </c>
      <c r="G76" s="262">
        <f t="shared" si="11"/>
        <v>2700000</v>
      </c>
      <c r="H76" s="262">
        <f>'dod3'!E69</f>
        <v>2700000</v>
      </c>
      <c r="I76" s="262">
        <f>'dod3'!J69</f>
        <v>0</v>
      </c>
      <c r="J76" s="262">
        <f>'dod3'!K69</f>
        <v>0</v>
      </c>
    </row>
    <row r="77" spans="1:10" s="119" customFormat="1" ht="183" x14ac:dyDescent="0.2">
      <c r="A77" s="260" t="s">
        <v>367</v>
      </c>
      <c r="B77" s="260" t="s">
        <v>359</v>
      </c>
      <c r="C77" s="260" t="s">
        <v>274</v>
      </c>
      <c r="D77" s="260" t="s">
        <v>15</v>
      </c>
      <c r="E77" s="261" t="s">
        <v>739</v>
      </c>
      <c r="F77" s="363" t="s">
        <v>697</v>
      </c>
      <c r="G77" s="262">
        <f>H77+I77</f>
        <v>39337958</v>
      </c>
      <c r="H77" s="262">
        <f>'dod3'!E70</f>
        <v>39337958</v>
      </c>
      <c r="I77" s="262">
        <f>'dod3'!J70</f>
        <v>0</v>
      </c>
      <c r="J77" s="262">
        <f>'dod3'!K70</f>
        <v>0</v>
      </c>
    </row>
    <row r="78" spans="1:10" s="119" customFormat="1" ht="183" x14ac:dyDescent="0.2">
      <c r="A78" s="260" t="s">
        <v>894</v>
      </c>
      <c r="B78" s="260" t="s">
        <v>896</v>
      </c>
      <c r="C78" s="260" t="s">
        <v>274</v>
      </c>
      <c r="D78" s="260" t="s">
        <v>895</v>
      </c>
      <c r="E78" s="261" t="s">
        <v>739</v>
      </c>
      <c r="F78" s="363" t="s">
        <v>697</v>
      </c>
      <c r="G78" s="262">
        <f>H78+I78</f>
        <v>963000</v>
      </c>
      <c r="H78" s="262">
        <f>'dod3'!E71</f>
        <v>963000</v>
      </c>
      <c r="I78" s="262">
        <f>'dod3'!J71</f>
        <v>0</v>
      </c>
      <c r="J78" s="262">
        <f>'dod3'!K71</f>
        <v>0</v>
      </c>
    </row>
    <row r="79" spans="1:10" ht="183" x14ac:dyDescent="0.2">
      <c r="A79" s="260" t="s">
        <v>377</v>
      </c>
      <c r="B79" s="260" t="s">
        <v>368</v>
      </c>
      <c r="C79" s="260" t="s">
        <v>298</v>
      </c>
      <c r="D79" s="260" t="s">
        <v>9</v>
      </c>
      <c r="E79" s="261" t="s">
        <v>739</v>
      </c>
      <c r="F79" s="363" t="s">
        <v>697</v>
      </c>
      <c r="G79" s="262">
        <f t="shared" si="11"/>
        <v>179080</v>
      </c>
      <c r="H79" s="262">
        <f>'dod3'!E72</f>
        <v>179080</v>
      </c>
      <c r="I79" s="262">
        <f>'dod3'!J72</f>
        <v>0</v>
      </c>
      <c r="J79" s="262">
        <f>'dod3'!K72</f>
        <v>0</v>
      </c>
    </row>
    <row r="80" spans="1:10" s="119" customFormat="1" ht="183" x14ac:dyDescent="0.2">
      <c r="A80" s="260" t="s">
        <v>546</v>
      </c>
      <c r="B80" s="260" t="s">
        <v>547</v>
      </c>
      <c r="C80" s="260" t="s">
        <v>290</v>
      </c>
      <c r="D80" s="260" t="s">
        <v>545</v>
      </c>
      <c r="E80" s="261" t="s">
        <v>739</v>
      </c>
      <c r="F80" s="363" t="s">
        <v>697</v>
      </c>
      <c r="G80" s="262">
        <f t="shared" si="11"/>
        <v>78472603.400000006</v>
      </c>
      <c r="H80" s="262">
        <f>'dod3'!E73</f>
        <v>78472603.400000006</v>
      </c>
      <c r="I80" s="262">
        <f>'dod3'!J73</f>
        <v>0</v>
      </c>
      <c r="J80" s="262">
        <f>'dod3'!K73</f>
        <v>0</v>
      </c>
    </row>
    <row r="81" spans="1:10" s="119" customFormat="1" ht="228.75" x14ac:dyDescent="0.2">
      <c r="A81" s="260" t="s">
        <v>605</v>
      </c>
      <c r="B81" s="260" t="s">
        <v>606</v>
      </c>
      <c r="C81" s="260" t="s">
        <v>290</v>
      </c>
      <c r="D81" s="260" t="s">
        <v>607</v>
      </c>
      <c r="E81" s="261" t="s">
        <v>739</v>
      </c>
      <c r="F81" s="363" t="s">
        <v>697</v>
      </c>
      <c r="G81" s="262">
        <f t="shared" si="11"/>
        <v>25694626.600000001</v>
      </c>
      <c r="H81" s="262">
        <f>'dod3'!E74</f>
        <v>25694626.600000001</v>
      </c>
      <c r="I81" s="262">
        <f>'dod3'!J74</f>
        <v>0</v>
      </c>
      <c r="J81" s="262">
        <f>'dod3'!K74</f>
        <v>0</v>
      </c>
    </row>
    <row r="82" spans="1:10" s="119" customFormat="1" ht="183" x14ac:dyDescent="0.2">
      <c r="A82" s="260" t="s">
        <v>543</v>
      </c>
      <c r="B82" s="260" t="s">
        <v>544</v>
      </c>
      <c r="C82" s="260" t="s">
        <v>290</v>
      </c>
      <c r="D82" s="260" t="s">
        <v>502</v>
      </c>
      <c r="E82" s="261" t="s">
        <v>739</v>
      </c>
      <c r="F82" s="363" t="s">
        <v>697</v>
      </c>
      <c r="G82" s="262">
        <f t="shared" si="11"/>
        <v>13918200</v>
      </c>
      <c r="H82" s="262">
        <f>'dod3'!E75</f>
        <v>13918200</v>
      </c>
      <c r="I82" s="262">
        <f>'dod3'!J75</f>
        <v>0</v>
      </c>
      <c r="J82" s="262">
        <f>'dod3'!K75</f>
        <v>0</v>
      </c>
    </row>
    <row r="83" spans="1:10" s="119" customFormat="1" ht="274.5" x14ac:dyDescent="0.2">
      <c r="A83" s="260" t="s">
        <v>550</v>
      </c>
      <c r="B83" s="260" t="s">
        <v>551</v>
      </c>
      <c r="C83" s="260" t="s">
        <v>274</v>
      </c>
      <c r="D83" s="260" t="s">
        <v>552</v>
      </c>
      <c r="E83" s="261" t="s">
        <v>739</v>
      </c>
      <c r="F83" s="363" t="s">
        <v>697</v>
      </c>
      <c r="G83" s="262">
        <f t="shared" si="11"/>
        <v>1616024</v>
      </c>
      <c r="H83" s="262">
        <f>'dod3'!E76</f>
        <v>1616024</v>
      </c>
      <c r="I83" s="262">
        <f>'dod3'!J76</f>
        <v>0</v>
      </c>
      <c r="J83" s="262">
        <f>'dod3'!K76</f>
        <v>0</v>
      </c>
    </row>
    <row r="84" spans="1:10" s="119" customFormat="1" ht="320.25" x14ac:dyDescent="0.2">
      <c r="A84" s="260" t="s">
        <v>548</v>
      </c>
      <c r="B84" s="260" t="s">
        <v>549</v>
      </c>
      <c r="C84" s="260" t="s">
        <v>290</v>
      </c>
      <c r="D84" s="260" t="s">
        <v>553</v>
      </c>
      <c r="E84" s="261" t="s">
        <v>739</v>
      </c>
      <c r="F84" s="363" t="s">
        <v>697</v>
      </c>
      <c r="G84" s="262">
        <f t="shared" si="11"/>
        <v>289523.23</v>
      </c>
      <c r="H84" s="262">
        <f>'dod3'!E77</f>
        <v>289523.23</v>
      </c>
      <c r="I84" s="262">
        <f>'dod3'!J77</f>
        <v>0</v>
      </c>
      <c r="J84" s="262">
        <f>'dod3'!K77</f>
        <v>0</v>
      </c>
    </row>
    <row r="85" spans="1:10" s="119" customFormat="1" ht="370.5" customHeight="1" x14ac:dyDescent="0.65">
      <c r="A85" s="553" t="s">
        <v>881</v>
      </c>
      <c r="B85" s="553" t="s">
        <v>882</v>
      </c>
      <c r="C85" s="553" t="s">
        <v>274</v>
      </c>
      <c r="D85" s="370" t="s">
        <v>883</v>
      </c>
      <c r="E85" s="555" t="s">
        <v>739</v>
      </c>
      <c r="F85" s="556" t="s">
        <v>697</v>
      </c>
      <c r="G85" s="557">
        <f t="shared" si="11"/>
        <v>249988</v>
      </c>
      <c r="H85" s="557">
        <f>'dod3'!Q78</f>
        <v>249988</v>
      </c>
      <c r="I85" s="557">
        <f>'dod3'!R78</f>
        <v>0</v>
      </c>
      <c r="J85" s="557">
        <f>'dod3'!T78</f>
        <v>0</v>
      </c>
    </row>
    <row r="86" spans="1:10" s="119" customFormat="1" ht="331.5" customHeight="1" x14ac:dyDescent="0.2">
      <c r="A86" s="554"/>
      <c r="B86" s="554"/>
      <c r="C86" s="554"/>
      <c r="D86" s="371" t="s">
        <v>884</v>
      </c>
      <c r="E86" s="554"/>
      <c r="F86" s="554"/>
      <c r="G86" s="554"/>
      <c r="H86" s="554"/>
      <c r="I86" s="554"/>
      <c r="J86" s="554"/>
    </row>
    <row r="87" spans="1:10" s="119" customFormat="1" ht="183" x14ac:dyDescent="0.2">
      <c r="A87" s="260" t="s">
        <v>918</v>
      </c>
      <c r="B87" s="260" t="s">
        <v>919</v>
      </c>
      <c r="C87" s="260" t="s">
        <v>274</v>
      </c>
      <c r="D87" s="260" t="s">
        <v>920</v>
      </c>
      <c r="E87" s="261" t="s">
        <v>739</v>
      </c>
      <c r="F87" s="363" t="s">
        <v>697</v>
      </c>
      <c r="G87" s="262">
        <f t="shared" ref="G87:G88" si="12">H87+I87</f>
        <v>20792460.77</v>
      </c>
      <c r="H87" s="262">
        <f>'dod3'!E80</f>
        <v>20792460.77</v>
      </c>
      <c r="I87" s="262">
        <f>'dod3'!J80</f>
        <v>0</v>
      </c>
      <c r="J87" s="262">
        <f>'dod3'!K80</f>
        <v>0</v>
      </c>
    </row>
    <row r="88" spans="1:10" ht="163.5" customHeight="1" x14ac:dyDescent="0.2">
      <c r="A88" s="260" t="s">
        <v>378</v>
      </c>
      <c r="B88" s="260" t="s">
        <v>369</v>
      </c>
      <c r="C88" s="260" t="s">
        <v>297</v>
      </c>
      <c r="D88" s="260" t="s">
        <v>503</v>
      </c>
      <c r="E88" s="261" t="s">
        <v>739</v>
      </c>
      <c r="F88" s="363" t="s">
        <v>697</v>
      </c>
      <c r="G88" s="262">
        <f t="shared" si="12"/>
        <v>152280</v>
      </c>
      <c r="H88" s="262">
        <f>'dod3'!E81</f>
        <v>152280</v>
      </c>
      <c r="I88" s="262">
        <f>'dod3'!J81</f>
        <v>0</v>
      </c>
      <c r="J88" s="262">
        <f>'dod3'!K81</f>
        <v>0</v>
      </c>
    </row>
    <row r="89" spans="1:10" ht="301.7" customHeight="1" x14ac:dyDescent="0.2">
      <c r="A89" s="260" t="s">
        <v>399</v>
      </c>
      <c r="B89" s="260" t="s">
        <v>397</v>
      </c>
      <c r="C89" s="260" t="s">
        <v>291</v>
      </c>
      <c r="D89" s="260" t="s">
        <v>35</v>
      </c>
      <c r="E89" s="261" t="s">
        <v>739</v>
      </c>
      <c r="F89" s="363" t="s">
        <v>697</v>
      </c>
      <c r="G89" s="262">
        <f>H89+I89</f>
        <v>18297584</v>
      </c>
      <c r="H89" s="262">
        <f>'dod3'!E82</f>
        <v>17985684</v>
      </c>
      <c r="I89" s="262">
        <f>'dod3'!J82</f>
        <v>311900</v>
      </c>
      <c r="J89" s="262">
        <f>'dod3'!K82</f>
        <v>202500</v>
      </c>
    </row>
    <row r="90" spans="1:10" ht="183" x14ac:dyDescent="0.2">
      <c r="A90" s="260" t="s">
        <v>400</v>
      </c>
      <c r="B90" s="260" t="s">
        <v>398</v>
      </c>
      <c r="C90" s="260" t="s">
        <v>290</v>
      </c>
      <c r="D90" s="260" t="s">
        <v>504</v>
      </c>
      <c r="E90" s="261" t="s">
        <v>739</v>
      </c>
      <c r="F90" s="363" t="s">
        <v>697</v>
      </c>
      <c r="G90" s="262">
        <f>H90+I90</f>
        <v>5516573</v>
      </c>
      <c r="H90" s="262">
        <f>'dod3'!E83-H91</f>
        <v>5287323</v>
      </c>
      <c r="I90" s="262">
        <f>'dod3'!J83-I91</f>
        <v>229250</v>
      </c>
      <c r="J90" s="262">
        <f>'dod3'!K83-J91</f>
        <v>229250</v>
      </c>
    </row>
    <row r="91" spans="1:10" ht="228.75" x14ac:dyDescent="0.2">
      <c r="A91" s="260" t="s">
        <v>400</v>
      </c>
      <c r="B91" s="260" t="s">
        <v>398</v>
      </c>
      <c r="C91" s="260" t="s">
        <v>290</v>
      </c>
      <c r="D91" s="260" t="s">
        <v>504</v>
      </c>
      <c r="E91" s="261" t="s">
        <v>733</v>
      </c>
      <c r="F91" s="372" t="s">
        <v>732</v>
      </c>
      <c r="G91" s="262">
        <f>H91+I91</f>
        <v>115000</v>
      </c>
      <c r="H91" s="262">
        <f>49000+21000</f>
        <v>70000</v>
      </c>
      <c r="I91" s="262">
        <v>45000</v>
      </c>
      <c r="J91" s="262">
        <v>45000</v>
      </c>
    </row>
    <row r="92" spans="1:10" ht="409.5" x14ac:dyDescent="0.2">
      <c r="A92" s="260" t="s">
        <v>395</v>
      </c>
      <c r="B92" s="260" t="s">
        <v>396</v>
      </c>
      <c r="C92" s="260" t="s">
        <v>290</v>
      </c>
      <c r="D92" s="260" t="s">
        <v>505</v>
      </c>
      <c r="E92" s="261" t="s">
        <v>739</v>
      </c>
      <c r="F92" s="363" t="s">
        <v>697</v>
      </c>
      <c r="G92" s="262">
        <f>H92+I92</f>
        <v>1554600</v>
      </c>
      <c r="H92" s="262">
        <f>'dod3'!E84</f>
        <v>1554600</v>
      </c>
      <c r="I92" s="262">
        <f>'dod3'!J84</f>
        <v>0</v>
      </c>
      <c r="J92" s="262">
        <f>'dod3'!K84</f>
        <v>0</v>
      </c>
    </row>
    <row r="93" spans="1:10" ht="274.5" x14ac:dyDescent="0.2">
      <c r="A93" s="260" t="s">
        <v>506</v>
      </c>
      <c r="B93" s="260" t="s">
        <v>507</v>
      </c>
      <c r="C93" s="260" t="s">
        <v>290</v>
      </c>
      <c r="D93" s="260" t="s">
        <v>554</v>
      </c>
      <c r="E93" s="261" t="s">
        <v>739</v>
      </c>
      <c r="F93" s="363" t="s">
        <v>697</v>
      </c>
      <c r="G93" s="262">
        <f>H93+I93</f>
        <v>135534</v>
      </c>
      <c r="H93" s="262">
        <f>'dod3'!E85</f>
        <v>135534</v>
      </c>
      <c r="I93" s="262">
        <f>'dod3'!J85</f>
        <v>0</v>
      </c>
      <c r="J93" s="262">
        <f>'dod3'!K85</f>
        <v>0</v>
      </c>
    </row>
    <row r="94" spans="1:10" ht="183" x14ac:dyDescent="0.2">
      <c r="A94" s="260" t="s">
        <v>508</v>
      </c>
      <c r="B94" s="260" t="s">
        <v>509</v>
      </c>
      <c r="C94" s="260" t="s">
        <v>290</v>
      </c>
      <c r="D94" s="260" t="s">
        <v>555</v>
      </c>
      <c r="E94" s="261" t="s">
        <v>739</v>
      </c>
      <c r="F94" s="363" t="s">
        <v>697</v>
      </c>
      <c r="G94" s="262">
        <f t="shared" ref="G94" si="13">H94+I94</f>
        <v>168</v>
      </c>
      <c r="H94" s="262">
        <f>'dod3'!E86</f>
        <v>168</v>
      </c>
      <c r="I94" s="262">
        <f>'dod3'!J86</f>
        <v>0</v>
      </c>
      <c r="J94" s="262">
        <f>'dod3'!K86</f>
        <v>0</v>
      </c>
    </row>
    <row r="95" spans="1:10" ht="366" x14ac:dyDescent="0.2">
      <c r="A95" s="260" t="s">
        <v>558</v>
      </c>
      <c r="B95" s="260" t="s">
        <v>557</v>
      </c>
      <c r="C95" s="260" t="s">
        <v>79</v>
      </c>
      <c r="D95" s="260" t="s">
        <v>556</v>
      </c>
      <c r="E95" s="261" t="s">
        <v>739</v>
      </c>
      <c r="F95" s="363" t="s">
        <v>697</v>
      </c>
      <c r="G95" s="262">
        <f>H95+I95</f>
        <v>828500</v>
      </c>
      <c r="H95" s="262">
        <f>'dod3'!E87-H96</f>
        <v>828500</v>
      </c>
      <c r="I95" s="262">
        <f>'dod3'!J87-I96</f>
        <v>0</v>
      </c>
      <c r="J95" s="262">
        <f>'dod3'!K87-J96</f>
        <v>0</v>
      </c>
    </row>
    <row r="96" spans="1:10" ht="366" x14ac:dyDescent="0.2">
      <c r="A96" s="260" t="s">
        <v>558</v>
      </c>
      <c r="B96" s="260" t="s">
        <v>557</v>
      </c>
      <c r="C96" s="260" t="s">
        <v>79</v>
      </c>
      <c r="D96" s="260" t="s">
        <v>556</v>
      </c>
      <c r="E96" s="261" t="s">
        <v>926</v>
      </c>
      <c r="F96" s="363" t="s">
        <v>698</v>
      </c>
      <c r="G96" s="262">
        <f>H96+I96</f>
        <v>980000</v>
      </c>
      <c r="H96" s="262">
        <v>980000</v>
      </c>
      <c r="I96" s="262">
        <v>0</v>
      </c>
      <c r="J96" s="262">
        <v>0</v>
      </c>
    </row>
    <row r="97" spans="1:13" ht="228.75" x14ac:dyDescent="0.2">
      <c r="A97" s="260" t="s">
        <v>510</v>
      </c>
      <c r="B97" s="260" t="s">
        <v>511</v>
      </c>
      <c r="C97" s="260" t="s">
        <v>297</v>
      </c>
      <c r="D97" s="260" t="s">
        <v>559</v>
      </c>
      <c r="E97" s="261" t="s">
        <v>739</v>
      </c>
      <c r="F97" s="363" t="s">
        <v>697</v>
      </c>
      <c r="G97" s="262">
        <f>H97+I97</f>
        <v>625000</v>
      </c>
      <c r="H97" s="262">
        <f>'dod3'!E88</f>
        <v>625000</v>
      </c>
      <c r="I97" s="262">
        <f>'dod3'!J88</f>
        <v>0</v>
      </c>
      <c r="J97" s="262">
        <f>'dod3'!K88</f>
        <v>0</v>
      </c>
    </row>
    <row r="98" spans="1:13" ht="137.25" x14ac:dyDescent="0.2">
      <c r="A98" s="260" t="s">
        <v>774</v>
      </c>
      <c r="B98" s="260" t="s">
        <v>622</v>
      </c>
      <c r="C98" s="260" t="s">
        <v>623</v>
      </c>
      <c r="D98" s="260" t="s">
        <v>621</v>
      </c>
      <c r="E98" s="373" t="s">
        <v>792</v>
      </c>
      <c r="F98" s="363" t="s">
        <v>793</v>
      </c>
      <c r="G98" s="262">
        <f>H98+I98</f>
        <v>311000</v>
      </c>
      <c r="H98" s="364">
        <f>'dod3'!E89</f>
        <v>311000</v>
      </c>
      <c r="I98" s="364">
        <f>'dod3'!J89</f>
        <v>0</v>
      </c>
      <c r="J98" s="364">
        <f>'dod3'!K89</f>
        <v>0</v>
      </c>
    </row>
    <row r="99" spans="1:13" ht="409.5" x14ac:dyDescent="0.2">
      <c r="A99" s="553" t="s">
        <v>394</v>
      </c>
      <c r="B99" s="553" t="s">
        <v>281</v>
      </c>
      <c r="C99" s="553" t="s">
        <v>274</v>
      </c>
      <c r="D99" s="374" t="s">
        <v>512</v>
      </c>
      <c r="E99" s="555" t="s">
        <v>739</v>
      </c>
      <c r="F99" s="556" t="s">
        <v>697</v>
      </c>
      <c r="G99" s="557">
        <f t="shared" ref="G99" si="14">H99+I99</f>
        <v>1030700</v>
      </c>
      <c r="H99" s="557">
        <f>'dod3'!E96</f>
        <v>1030700</v>
      </c>
      <c r="I99" s="557">
        <f>'dod3'!J96</f>
        <v>0</v>
      </c>
      <c r="J99" s="557">
        <f>'dod3'!K96</f>
        <v>0</v>
      </c>
    </row>
    <row r="100" spans="1:13" ht="327.75" customHeight="1" x14ac:dyDescent="0.2">
      <c r="A100" s="562"/>
      <c r="B100" s="562"/>
      <c r="C100" s="562"/>
      <c r="D100" s="371" t="s">
        <v>787</v>
      </c>
      <c r="E100" s="562"/>
      <c r="F100" s="562"/>
      <c r="G100" s="560"/>
      <c r="H100" s="562"/>
      <c r="I100" s="562"/>
      <c r="J100" s="562"/>
    </row>
    <row r="101" spans="1:13" ht="91.5" x14ac:dyDescent="0.2">
      <c r="A101" s="554"/>
      <c r="B101" s="554"/>
      <c r="C101" s="554"/>
      <c r="D101" s="371" t="s">
        <v>788</v>
      </c>
      <c r="E101" s="554"/>
      <c r="F101" s="554"/>
      <c r="G101" s="561"/>
      <c r="H101" s="554"/>
      <c r="I101" s="554"/>
      <c r="J101" s="554"/>
    </row>
    <row r="102" spans="1:13" ht="183" x14ac:dyDescent="0.2">
      <c r="A102" s="260" t="s">
        <v>513</v>
      </c>
      <c r="B102" s="260" t="s">
        <v>515</v>
      </c>
      <c r="C102" s="260" t="s">
        <v>282</v>
      </c>
      <c r="D102" s="375" t="s">
        <v>517</v>
      </c>
      <c r="E102" s="261" t="s">
        <v>739</v>
      </c>
      <c r="F102" s="363" t="s">
        <v>697</v>
      </c>
      <c r="G102" s="262">
        <f>H102+I102</f>
        <v>8937805</v>
      </c>
      <c r="H102" s="376">
        <f>'dod3'!E99</f>
        <v>5249475</v>
      </c>
      <c r="I102" s="262">
        <f>'dod3'!J99</f>
        <v>3688330</v>
      </c>
      <c r="J102" s="262">
        <f>'dod3'!K99</f>
        <v>3688330</v>
      </c>
    </row>
    <row r="103" spans="1:13" ht="183" x14ac:dyDescent="0.2">
      <c r="A103" s="260" t="s">
        <v>514</v>
      </c>
      <c r="B103" s="260" t="s">
        <v>516</v>
      </c>
      <c r="C103" s="260" t="s">
        <v>282</v>
      </c>
      <c r="D103" s="375" t="s">
        <v>518</v>
      </c>
      <c r="E103" s="261" t="s">
        <v>739</v>
      </c>
      <c r="F103" s="363" t="s">
        <v>697</v>
      </c>
      <c r="G103" s="262">
        <f>H103+I103</f>
        <v>26533371</v>
      </c>
      <c r="H103" s="262">
        <f>'dod3'!E100-H104</f>
        <v>26334371</v>
      </c>
      <c r="I103" s="262">
        <f>'dod3'!J100-I104</f>
        <v>199000</v>
      </c>
      <c r="J103" s="262">
        <f>'dod3'!K100-J104</f>
        <v>199000</v>
      </c>
    </row>
    <row r="104" spans="1:13" ht="320.25" x14ac:dyDescent="0.2">
      <c r="A104" s="260" t="s">
        <v>514</v>
      </c>
      <c r="B104" s="260" t="s">
        <v>516</v>
      </c>
      <c r="C104" s="260" t="s">
        <v>282</v>
      </c>
      <c r="D104" s="375" t="s">
        <v>518</v>
      </c>
      <c r="E104" s="261" t="s">
        <v>925</v>
      </c>
      <c r="F104" s="363" t="s">
        <v>698</v>
      </c>
      <c r="G104" s="262">
        <f>H104+I104</f>
        <v>1491500</v>
      </c>
      <c r="H104" s="262">
        <f>(1925000+300000)-1000000+46500</f>
        <v>1271500</v>
      </c>
      <c r="I104" s="262">
        <v>220000</v>
      </c>
      <c r="J104" s="262">
        <v>220000</v>
      </c>
      <c r="K104" s="203"/>
    </row>
    <row r="105" spans="1:13" ht="320.25" x14ac:dyDescent="0.2">
      <c r="A105" s="260" t="s">
        <v>598</v>
      </c>
      <c r="B105" s="260" t="s">
        <v>596</v>
      </c>
      <c r="C105" s="260" t="s">
        <v>532</v>
      </c>
      <c r="D105" s="375" t="s">
        <v>597</v>
      </c>
      <c r="E105" s="261" t="s">
        <v>925</v>
      </c>
      <c r="F105" s="363" t="s">
        <v>698</v>
      </c>
      <c r="G105" s="262">
        <f>H105+I105</f>
        <v>3241964</v>
      </c>
      <c r="H105" s="262">
        <f>'dod3'!E101</f>
        <v>0</v>
      </c>
      <c r="I105" s="262">
        <f>'dod3'!J101</f>
        <v>3241964</v>
      </c>
      <c r="J105" s="262">
        <f>'dod3'!K101</f>
        <v>3241964</v>
      </c>
    </row>
    <row r="106" spans="1:13" ht="183" x14ac:dyDescent="0.2">
      <c r="A106" s="260" t="s">
        <v>693</v>
      </c>
      <c r="B106" s="260" t="s">
        <v>694</v>
      </c>
      <c r="C106" s="260" t="s">
        <v>445</v>
      </c>
      <c r="D106" s="375" t="s">
        <v>695</v>
      </c>
      <c r="E106" s="261" t="s">
        <v>739</v>
      </c>
      <c r="F106" s="363" t="s">
        <v>697</v>
      </c>
      <c r="G106" s="262">
        <f>H106+I106</f>
        <v>2000000</v>
      </c>
      <c r="H106" s="262">
        <f>'dod3'!E103</f>
        <v>0</v>
      </c>
      <c r="I106" s="262">
        <f>'dod3'!J103</f>
        <v>2000000</v>
      </c>
      <c r="J106" s="369">
        <f>'dod3'!K103</f>
        <v>2000000</v>
      </c>
    </row>
    <row r="107" spans="1:13" ht="180" x14ac:dyDescent="0.2">
      <c r="A107" s="377">
        <v>1000000</v>
      </c>
      <c r="B107" s="331"/>
      <c r="C107" s="331"/>
      <c r="D107" s="333" t="s">
        <v>43</v>
      </c>
      <c r="E107" s="331"/>
      <c r="F107" s="331"/>
      <c r="G107" s="331">
        <f>G108</f>
        <v>98581898</v>
      </c>
      <c r="H107" s="331">
        <f t="shared" ref="H107:J107" si="15">H108</f>
        <v>83190664</v>
      </c>
      <c r="I107" s="331">
        <f t="shared" si="15"/>
        <v>15391234</v>
      </c>
      <c r="J107" s="331">
        <f t="shared" si="15"/>
        <v>7904454</v>
      </c>
      <c r="K107" s="190" t="b">
        <f>H107='dod3'!E107</f>
        <v>1</v>
      </c>
      <c r="L107" s="190" t="b">
        <f>I107='dod3'!J107</f>
        <v>1</v>
      </c>
      <c r="M107" s="191" t="b">
        <f>J107='dod3'!K107</f>
        <v>1</v>
      </c>
    </row>
    <row r="108" spans="1:13" ht="180" x14ac:dyDescent="0.2">
      <c r="A108" s="283">
        <v>1010000</v>
      </c>
      <c r="B108" s="332"/>
      <c r="C108" s="332"/>
      <c r="D108" s="332" t="s">
        <v>62</v>
      </c>
      <c r="E108" s="332"/>
      <c r="F108" s="332"/>
      <c r="G108" s="332">
        <f>SUM(G109:G121)</f>
        <v>98581898</v>
      </c>
      <c r="H108" s="332">
        <f>SUM(H109:H121)</f>
        <v>83190664</v>
      </c>
      <c r="I108" s="332">
        <f t="shared" ref="I108:J108" si="16">SUM(I109:I121)</f>
        <v>15391234</v>
      </c>
      <c r="J108" s="332">
        <f t="shared" si="16"/>
        <v>7904454</v>
      </c>
    </row>
    <row r="109" spans="1:13" ht="274.5" x14ac:dyDescent="0.2">
      <c r="A109" s="260" t="s">
        <v>34</v>
      </c>
      <c r="B109" s="260" t="s">
        <v>269</v>
      </c>
      <c r="C109" s="260" t="s">
        <v>270</v>
      </c>
      <c r="D109" s="260" t="s">
        <v>268</v>
      </c>
      <c r="E109" s="262" t="s">
        <v>20</v>
      </c>
      <c r="F109" s="262" t="s">
        <v>689</v>
      </c>
      <c r="G109" s="262">
        <f>H109+I109</f>
        <v>55454599</v>
      </c>
      <c r="H109" s="262">
        <f>'dod3'!E108</f>
        <v>47590215</v>
      </c>
      <c r="I109" s="262">
        <f>'dod3'!J108</f>
        <v>7864384</v>
      </c>
      <c r="J109" s="262">
        <f>'dod3'!K108</f>
        <v>1033004</v>
      </c>
    </row>
    <row r="110" spans="1:13" ht="243" customHeight="1" x14ac:dyDescent="0.2">
      <c r="A110" s="260" t="s">
        <v>252</v>
      </c>
      <c r="B110" s="260" t="s">
        <v>253</v>
      </c>
      <c r="C110" s="260" t="s">
        <v>256</v>
      </c>
      <c r="D110" s="260" t="s">
        <v>257</v>
      </c>
      <c r="E110" s="262" t="s">
        <v>20</v>
      </c>
      <c r="F110" s="262" t="s">
        <v>689</v>
      </c>
      <c r="G110" s="262">
        <f t="shared" ref="G110:G117" si="17">H110+I110</f>
        <v>726700</v>
      </c>
      <c r="H110" s="262">
        <f>'dod3'!E109</f>
        <v>726700</v>
      </c>
      <c r="I110" s="262">
        <f>'dod3'!J109</f>
        <v>0</v>
      </c>
      <c r="J110" s="262">
        <f>'dod3'!K109</f>
        <v>0</v>
      </c>
    </row>
    <row r="111" spans="1:13" ht="186" x14ac:dyDescent="0.2">
      <c r="A111" s="260" t="s">
        <v>258</v>
      </c>
      <c r="B111" s="260" t="s">
        <v>259</v>
      </c>
      <c r="C111" s="260" t="s">
        <v>260</v>
      </c>
      <c r="D111" s="260" t="s">
        <v>261</v>
      </c>
      <c r="E111" s="262" t="s">
        <v>20</v>
      </c>
      <c r="F111" s="262" t="s">
        <v>689</v>
      </c>
      <c r="G111" s="262">
        <f t="shared" si="17"/>
        <v>8362220</v>
      </c>
      <c r="H111" s="262">
        <f>'dod3'!E110-H112</f>
        <v>7877220</v>
      </c>
      <c r="I111" s="262">
        <f>'dod3'!J110-I112</f>
        <v>485000</v>
      </c>
      <c r="J111" s="262">
        <f>'dod3'!K110-J112</f>
        <v>400000</v>
      </c>
    </row>
    <row r="112" spans="1:13" ht="228.75" x14ac:dyDescent="0.2">
      <c r="A112" s="260" t="s">
        <v>258</v>
      </c>
      <c r="B112" s="260" t="s">
        <v>259</v>
      </c>
      <c r="C112" s="260" t="s">
        <v>260</v>
      </c>
      <c r="D112" s="260" t="s">
        <v>261</v>
      </c>
      <c r="E112" s="261" t="s">
        <v>733</v>
      </c>
      <c r="F112" s="372" t="s">
        <v>732</v>
      </c>
      <c r="G112" s="262">
        <f t="shared" si="17"/>
        <v>300000</v>
      </c>
      <c r="H112" s="262">
        <f>16250+46800+5000</f>
        <v>68050</v>
      </c>
      <c r="I112" s="262">
        <f>87250+46500+98200</f>
        <v>231950</v>
      </c>
      <c r="J112" s="262">
        <f>87250+46500+98200</f>
        <v>231950</v>
      </c>
    </row>
    <row r="113" spans="1:13" ht="186" x14ac:dyDescent="0.2">
      <c r="A113" s="260" t="s">
        <v>262</v>
      </c>
      <c r="B113" s="260" t="s">
        <v>263</v>
      </c>
      <c r="C113" s="260" t="s">
        <v>260</v>
      </c>
      <c r="D113" s="260" t="s">
        <v>264</v>
      </c>
      <c r="E113" s="262" t="s">
        <v>20</v>
      </c>
      <c r="F113" s="262" t="s">
        <v>689</v>
      </c>
      <c r="G113" s="262">
        <f t="shared" si="17"/>
        <v>6295535</v>
      </c>
      <c r="H113" s="262">
        <f>'dod3'!E111</f>
        <v>1220535</v>
      </c>
      <c r="I113" s="262">
        <f>'dod3'!J111</f>
        <v>5075000</v>
      </c>
      <c r="J113" s="262">
        <f>'dod3'!K111</f>
        <v>5000000</v>
      </c>
    </row>
    <row r="114" spans="1:13" ht="186" x14ac:dyDescent="0.2">
      <c r="A114" s="260" t="s">
        <v>265</v>
      </c>
      <c r="B114" s="260" t="s">
        <v>254</v>
      </c>
      <c r="C114" s="260" t="s">
        <v>266</v>
      </c>
      <c r="D114" s="260" t="s">
        <v>267</v>
      </c>
      <c r="E114" s="262" t="s">
        <v>20</v>
      </c>
      <c r="F114" s="262" t="s">
        <v>689</v>
      </c>
      <c r="G114" s="262">
        <f t="shared" si="17"/>
        <v>7363082</v>
      </c>
      <c r="H114" s="262">
        <f>'dod3'!E112-H115</f>
        <v>5807682</v>
      </c>
      <c r="I114" s="262">
        <f>'dod3'!J112-I115</f>
        <v>1555400</v>
      </c>
      <c r="J114" s="262">
        <f>'dod3'!K112-J115</f>
        <v>1190000</v>
      </c>
    </row>
    <row r="115" spans="1:13" ht="228.75" x14ac:dyDescent="0.2">
      <c r="A115" s="260" t="s">
        <v>265</v>
      </c>
      <c r="B115" s="260" t="s">
        <v>254</v>
      </c>
      <c r="C115" s="260" t="s">
        <v>266</v>
      </c>
      <c r="D115" s="260" t="s">
        <v>267</v>
      </c>
      <c r="E115" s="261" t="s">
        <v>733</v>
      </c>
      <c r="F115" s="372" t="s">
        <v>732</v>
      </c>
      <c r="G115" s="262">
        <f t="shared" si="17"/>
        <v>116500</v>
      </c>
      <c r="H115" s="262">
        <f>86500+30000</f>
        <v>116500</v>
      </c>
      <c r="I115" s="262"/>
      <c r="J115" s="262"/>
    </row>
    <row r="116" spans="1:13" ht="186" x14ac:dyDescent="0.2">
      <c r="A116" s="260" t="s">
        <v>520</v>
      </c>
      <c r="B116" s="260" t="s">
        <v>521</v>
      </c>
      <c r="C116" s="260" t="s">
        <v>271</v>
      </c>
      <c r="D116" s="260" t="s">
        <v>519</v>
      </c>
      <c r="E116" s="262" t="s">
        <v>20</v>
      </c>
      <c r="F116" s="262" t="s">
        <v>689</v>
      </c>
      <c r="G116" s="262">
        <f t="shared" si="17"/>
        <v>12898962</v>
      </c>
      <c r="H116" s="262">
        <f>'dod3'!E113-H117</f>
        <v>12768962</v>
      </c>
      <c r="I116" s="262">
        <f>'dod3'!J113-I117</f>
        <v>130000</v>
      </c>
      <c r="J116" s="262">
        <f>'dod3'!K113-J117</f>
        <v>0</v>
      </c>
    </row>
    <row r="117" spans="1:13" ht="186" x14ac:dyDescent="0.2">
      <c r="A117" s="260" t="s">
        <v>520</v>
      </c>
      <c r="B117" s="260" t="s">
        <v>521</v>
      </c>
      <c r="C117" s="260" t="s">
        <v>271</v>
      </c>
      <c r="D117" s="260" t="s">
        <v>519</v>
      </c>
      <c r="E117" s="262" t="s">
        <v>690</v>
      </c>
      <c r="F117" s="262" t="s">
        <v>691</v>
      </c>
      <c r="G117" s="262">
        <f t="shared" si="17"/>
        <v>514800</v>
      </c>
      <c r="H117" s="262">
        <v>514800</v>
      </c>
      <c r="I117" s="262"/>
      <c r="J117" s="262"/>
    </row>
    <row r="118" spans="1:13" ht="204" customHeight="1" x14ac:dyDescent="0.2">
      <c r="A118" s="260" t="s">
        <v>522</v>
      </c>
      <c r="B118" s="260" t="s">
        <v>523</v>
      </c>
      <c r="C118" s="260" t="s">
        <v>271</v>
      </c>
      <c r="D118" s="260" t="s">
        <v>524</v>
      </c>
      <c r="E118" s="262" t="s">
        <v>20</v>
      </c>
      <c r="F118" s="262" t="s">
        <v>689</v>
      </c>
      <c r="G118" s="262">
        <f t="shared" ref="G118:G121" si="18">H118+I118</f>
        <v>5744680</v>
      </c>
      <c r="H118" s="262">
        <f>'dod3'!E114-H120-H119</f>
        <v>5744680</v>
      </c>
      <c r="I118" s="262">
        <f>'dod3'!J114-I120-I119</f>
        <v>0</v>
      </c>
      <c r="J118" s="262">
        <f>'dod3'!K114-J120-J119</f>
        <v>0</v>
      </c>
    </row>
    <row r="119" spans="1:13" ht="279" x14ac:dyDescent="0.2">
      <c r="A119" s="260" t="s">
        <v>522</v>
      </c>
      <c r="B119" s="260" t="s">
        <v>523</v>
      </c>
      <c r="C119" s="260" t="s">
        <v>271</v>
      </c>
      <c r="D119" s="260" t="s">
        <v>524</v>
      </c>
      <c r="E119" s="262" t="s">
        <v>595</v>
      </c>
      <c r="F119" s="262" t="s">
        <v>704</v>
      </c>
      <c r="G119" s="262">
        <f t="shared" si="18"/>
        <v>395000</v>
      </c>
      <c r="H119" s="262">
        <v>395000</v>
      </c>
      <c r="I119" s="262"/>
      <c r="J119" s="262"/>
    </row>
    <row r="120" spans="1:13" ht="178.5" customHeight="1" x14ac:dyDescent="0.2">
      <c r="A120" s="260" t="s">
        <v>522</v>
      </c>
      <c r="B120" s="260" t="s">
        <v>523</v>
      </c>
      <c r="C120" s="260" t="s">
        <v>271</v>
      </c>
      <c r="D120" s="260" t="s">
        <v>524</v>
      </c>
      <c r="E120" s="262" t="s">
        <v>690</v>
      </c>
      <c r="F120" s="262" t="s">
        <v>691</v>
      </c>
      <c r="G120" s="262">
        <f t="shared" si="18"/>
        <v>360320</v>
      </c>
      <c r="H120" s="262">
        <v>360320</v>
      </c>
      <c r="I120" s="262"/>
      <c r="J120" s="262"/>
    </row>
    <row r="121" spans="1:13" ht="232.5" customHeight="1" x14ac:dyDescent="0.2">
      <c r="A121" s="260" t="s">
        <v>839</v>
      </c>
      <c r="B121" s="260" t="s">
        <v>288</v>
      </c>
      <c r="C121" s="260" t="s">
        <v>251</v>
      </c>
      <c r="D121" s="260" t="s">
        <v>57</v>
      </c>
      <c r="E121" s="262" t="s">
        <v>20</v>
      </c>
      <c r="F121" s="262" t="s">
        <v>689</v>
      </c>
      <c r="G121" s="262">
        <f t="shared" si="18"/>
        <v>49500</v>
      </c>
      <c r="H121" s="262">
        <f>'dod3'!E115</f>
        <v>0</v>
      </c>
      <c r="I121" s="262">
        <f>'dod3'!J115</f>
        <v>49500</v>
      </c>
      <c r="J121" s="262">
        <f>'dod3'!K115</f>
        <v>49500</v>
      </c>
    </row>
    <row r="122" spans="1:13" ht="135" x14ac:dyDescent="0.2">
      <c r="A122" s="377" t="s">
        <v>40</v>
      </c>
      <c r="B122" s="331"/>
      <c r="C122" s="331"/>
      <c r="D122" s="333" t="s">
        <v>41</v>
      </c>
      <c r="E122" s="331"/>
      <c r="F122" s="331"/>
      <c r="G122" s="331">
        <f>G123</f>
        <v>59621309</v>
      </c>
      <c r="H122" s="331">
        <f t="shared" ref="H122:J122" si="19">H123</f>
        <v>54379325</v>
      </c>
      <c r="I122" s="331">
        <f t="shared" si="19"/>
        <v>5241984</v>
      </c>
      <c r="J122" s="331">
        <f t="shared" si="19"/>
        <v>3135340</v>
      </c>
      <c r="K122" s="190" t="b">
        <f>H122='dod3'!E117+'dod4'!F12</f>
        <v>1</v>
      </c>
      <c r="L122" s="190" t="b">
        <f>I122='dod3'!J117+'dod4'!G12</f>
        <v>1</v>
      </c>
      <c r="M122" s="191" t="b">
        <f>J122='dod3'!K117+'dod4'!H12</f>
        <v>1</v>
      </c>
    </row>
    <row r="123" spans="1:13" ht="135" x14ac:dyDescent="0.2">
      <c r="A123" s="283" t="s">
        <v>39</v>
      </c>
      <c r="B123" s="332"/>
      <c r="C123" s="332"/>
      <c r="D123" s="332" t="s">
        <v>58</v>
      </c>
      <c r="E123" s="332"/>
      <c r="F123" s="332"/>
      <c r="G123" s="332">
        <f>SUM(G124:G141)</f>
        <v>59621309</v>
      </c>
      <c r="H123" s="332">
        <f>SUM(H124:H141)</f>
        <v>54379325</v>
      </c>
      <c r="I123" s="332">
        <f>SUM(I124:I141)</f>
        <v>5241984</v>
      </c>
      <c r="J123" s="332">
        <f>SUM(J124:J141)</f>
        <v>3135340</v>
      </c>
    </row>
    <row r="124" spans="1:13" ht="228.75" x14ac:dyDescent="0.2">
      <c r="A124" s="420" t="s">
        <v>272</v>
      </c>
      <c r="B124" s="420" t="s">
        <v>273</v>
      </c>
      <c r="C124" s="420" t="s">
        <v>274</v>
      </c>
      <c r="D124" s="420" t="s">
        <v>275</v>
      </c>
      <c r="E124" s="267" t="s">
        <v>929</v>
      </c>
      <c r="F124" s="276" t="s">
        <v>699</v>
      </c>
      <c r="G124" s="276">
        <f t="shared" ref="G124" si="20">H124+I124</f>
        <v>3565266</v>
      </c>
      <c r="H124" s="266">
        <f>'dod3'!E118</f>
        <v>3511988</v>
      </c>
      <c r="I124" s="286">
        <f>'dod3'!J118</f>
        <v>53278</v>
      </c>
      <c r="J124" s="276">
        <f>'dod3'!K118</f>
        <v>53278</v>
      </c>
    </row>
    <row r="125" spans="1:13" ht="228.75" x14ac:dyDescent="0.2">
      <c r="A125" s="420" t="s">
        <v>72</v>
      </c>
      <c r="B125" s="420" t="s">
        <v>255</v>
      </c>
      <c r="C125" s="420" t="s">
        <v>274</v>
      </c>
      <c r="D125" s="420" t="s">
        <v>22</v>
      </c>
      <c r="E125" s="267" t="s">
        <v>929</v>
      </c>
      <c r="F125" s="276" t="s">
        <v>699</v>
      </c>
      <c r="G125" s="276">
        <f t="shared" ref="G125:G126" si="21">H125+I125</f>
        <v>1225790</v>
      </c>
      <c r="H125" s="266">
        <f>'dod3'!E119</f>
        <v>1225790</v>
      </c>
      <c r="I125" s="286">
        <f>'dod3'!J119</f>
        <v>0</v>
      </c>
      <c r="J125" s="276">
        <f>'dod3'!K119</f>
        <v>0</v>
      </c>
    </row>
    <row r="126" spans="1:13" ht="228.75" x14ac:dyDescent="0.2">
      <c r="A126" s="420" t="s">
        <v>279</v>
      </c>
      <c r="B126" s="420" t="s">
        <v>280</v>
      </c>
      <c r="C126" s="420" t="s">
        <v>274</v>
      </c>
      <c r="D126" s="420" t="s">
        <v>23</v>
      </c>
      <c r="E126" s="267" t="s">
        <v>929</v>
      </c>
      <c r="F126" s="276" t="s">
        <v>699</v>
      </c>
      <c r="G126" s="276">
        <f t="shared" si="21"/>
        <v>4732446</v>
      </c>
      <c r="H126" s="266">
        <f>'dod3'!E120</f>
        <v>3318391</v>
      </c>
      <c r="I126" s="286">
        <f>'dod3'!J120</f>
        <v>1414055</v>
      </c>
      <c r="J126" s="276">
        <f>'dod3'!K120</f>
        <v>1089055</v>
      </c>
    </row>
    <row r="127" spans="1:13" ht="228.75" x14ac:dyDescent="0.2">
      <c r="A127" s="420" t="s">
        <v>564</v>
      </c>
      <c r="B127" s="420" t="s">
        <v>565</v>
      </c>
      <c r="C127" s="420" t="s">
        <v>274</v>
      </c>
      <c r="D127" s="420" t="s">
        <v>566</v>
      </c>
      <c r="E127" s="267" t="s">
        <v>929</v>
      </c>
      <c r="F127" s="276" t="s">
        <v>699</v>
      </c>
      <c r="G127" s="276">
        <f t="shared" ref="G127:G130" si="22">H127+I127</f>
        <v>7176944</v>
      </c>
      <c r="H127" s="266">
        <f>'dod3'!E121-H128</f>
        <v>5900441</v>
      </c>
      <c r="I127" s="286">
        <f>'dod3'!J121-I128</f>
        <v>1276503</v>
      </c>
      <c r="J127" s="276">
        <f>'dod3'!K121-J128</f>
        <v>1276503</v>
      </c>
    </row>
    <row r="128" spans="1:13" ht="228.75" x14ac:dyDescent="0.2">
      <c r="A128" s="420" t="s">
        <v>564</v>
      </c>
      <c r="B128" s="420" t="s">
        <v>565</v>
      </c>
      <c r="C128" s="420" t="s">
        <v>274</v>
      </c>
      <c r="D128" s="420" t="s">
        <v>566</v>
      </c>
      <c r="E128" s="267" t="s">
        <v>733</v>
      </c>
      <c r="F128" s="265" t="s">
        <v>732</v>
      </c>
      <c r="G128" s="276">
        <f t="shared" si="22"/>
        <v>104955</v>
      </c>
      <c r="H128" s="266">
        <v>104955</v>
      </c>
      <c r="I128" s="286"/>
      <c r="J128" s="276"/>
    </row>
    <row r="129" spans="1:13" ht="228.75" x14ac:dyDescent="0.2">
      <c r="A129" s="420" t="s">
        <v>73</v>
      </c>
      <c r="B129" s="420" t="s">
        <v>276</v>
      </c>
      <c r="C129" s="420" t="s">
        <v>286</v>
      </c>
      <c r="D129" s="420" t="s">
        <v>74</v>
      </c>
      <c r="E129" s="267" t="s">
        <v>929</v>
      </c>
      <c r="F129" s="276" t="s">
        <v>699</v>
      </c>
      <c r="G129" s="276">
        <f t="shared" si="22"/>
        <v>12196475</v>
      </c>
      <c r="H129" s="276">
        <f>'dod3'!E122</f>
        <v>12196475</v>
      </c>
      <c r="I129" s="286">
        <f>'dod3'!J122</f>
        <v>0</v>
      </c>
      <c r="J129" s="276">
        <f>'dod3'!K122</f>
        <v>0</v>
      </c>
    </row>
    <row r="130" spans="1:13" ht="228.75" x14ac:dyDescent="0.2">
      <c r="A130" s="420" t="s">
        <v>75</v>
      </c>
      <c r="B130" s="420" t="s">
        <v>277</v>
      </c>
      <c r="C130" s="420" t="s">
        <v>286</v>
      </c>
      <c r="D130" s="420" t="s">
        <v>6</v>
      </c>
      <c r="E130" s="267" t="s">
        <v>929</v>
      </c>
      <c r="F130" s="276" t="s">
        <v>699</v>
      </c>
      <c r="G130" s="276">
        <f t="shared" si="22"/>
        <v>1807513</v>
      </c>
      <c r="H130" s="276">
        <f>'dod3'!E123</f>
        <v>1807513</v>
      </c>
      <c r="I130" s="286">
        <f>'dod3'!J123</f>
        <v>0</v>
      </c>
      <c r="J130" s="276">
        <f>'dod3'!K123</f>
        <v>0</v>
      </c>
    </row>
    <row r="131" spans="1:13" ht="228.75" x14ac:dyDescent="0.2">
      <c r="A131" s="420" t="s">
        <v>76</v>
      </c>
      <c r="B131" s="420" t="s">
        <v>278</v>
      </c>
      <c r="C131" s="420" t="s">
        <v>286</v>
      </c>
      <c r="D131" s="420" t="s">
        <v>560</v>
      </c>
      <c r="E131" s="267" t="s">
        <v>929</v>
      </c>
      <c r="F131" s="276" t="s">
        <v>699</v>
      </c>
      <c r="G131" s="276">
        <f t="shared" ref="G131:G132" si="23">H131+I131</f>
        <v>53014</v>
      </c>
      <c r="H131" s="276">
        <f>'dod3'!E124</f>
        <v>53014</v>
      </c>
      <c r="I131" s="286">
        <f>'dod3'!J124</f>
        <v>0</v>
      </c>
      <c r="J131" s="276">
        <f>'dod3'!K124</f>
        <v>0</v>
      </c>
    </row>
    <row r="132" spans="1:13" ht="228.75" x14ac:dyDescent="0.2">
      <c r="A132" s="420" t="s">
        <v>49</v>
      </c>
      <c r="B132" s="420" t="s">
        <v>283</v>
      </c>
      <c r="C132" s="420" t="s">
        <v>286</v>
      </c>
      <c r="D132" s="420" t="s">
        <v>77</v>
      </c>
      <c r="E132" s="267" t="s">
        <v>929</v>
      </c>
      <c r="F132" s="276" t="s">
        <v>699</v>
      </c>
      <c r="G132" s="276">
        <f t="shared" si="23"/>
        <v>21049541</v>
      </c>
      <c r="H132" s="276">
        <f>'dod3'!E125</f>
        <v>18783097</v>
      </c>
      <c r="I132" s="286">
        <f>'dod3'!J125</f>
        <v>2266444</v>
      </c>
      <c r="J132" s="276">
        <f>'dod3'!K125</f>
        <v>616800</v>
      </c>
    </row>
    <row r="133" spans="1:13" ht="228.75" x14ac:dyDescent="0.2">
      <c r="A133" s="420" t="s">
        <v>50</v>
      </c>
      <c r="B133" s="420" t="s">
        <v>284</v>
      </c>
      <c r="C133" s="420" t="s">
        <v>286</v>
      </c>
      <c r="D133" s="420" t="s">
        <v>78</v>
      </c>
      <c r="E133" s="267" t="s">
        <v>929</v>
      </c>
      <c r="F133" s="276" t="s">
        <v>699</v>
      </c>
      <c r="G133" s="276">
        <f t="shared" ref="G133" si="24">H133+I133</f>
        <v>4254685</v>
      </c>
      <c r="H133" s="276">
        <f>'dod3'!E126</f>
        <v>4254685</v>
      </c>
      <c r="I133" s="286">
        <f>'dod3'!J126</f>
        <v>0</v>
      </c>
      <c r="J133" s="276">
        <f>'dod3'!K126</f>
        <v>0</v>
      </c>
    </row>
    <row r="134" spans="1:13" ht="274.5" x14ac:dyDescent="0.2">
      <c r="A134" s="301" t="s">
        <v>51</v>
      </c>
      <c r="B134" s="301" t="s">
        <v>285</v>
      </c>
      <c r="C134" s="301" t="s">
        <v>286</v>
      </c>
      <c r="D134" s="420" t="s">
        <v>52</v>
      </c>
      <c r="E134" s="267" t="s">
        <v>929</v>
      </c>
      <c r="F134" s="276" t="s">
        <v>699</v>
      </c>
      <c r="G134" s="276">
        <f t="shared" ref="G134:G135" si="25">H134+I134</f>
        <v>1456611</v>
      </c>
      <c r="H134" s="276">
        <f>'dod3'!E127-H135</f>
        <v>1456611</v>
      </c>
      <c r="I134" s="286">
        <f>'dod3'!J127</f>
        <v>0</v>
      </c>
      <c r="J134" s="276">
        <f>'dod3'!K127</f>
        <v>0</v>
      </c>
    </row>
    <row r="135" spans="1:13" s="249" customFormat="1" ht="274.5" x14ac:dyDescent="0.2">
      <c r="A135" s="301" t="s">
        <v>51</v>
      </c>
      <c r="B135" s="301" t="s">
        <v>285</v>
      </c>
      <c r="C135" s="301" t="s">
        <v>286</v>
      </c>
      <c r="D135" s="420" t="s">
        <v>52</v>
      </c>
      <c r="E135" s="276" t="s">
        <v>886</v>
      </c>
      <c r="F135" s="265" t="s">
        <v>885</v>
      </c>
      <c r="G135" s="276">
        <f t="shared" si="25"/>
        <v>129155</v>
      </c>
      <c r="H135" s="276">
        <v>129155</v>
      </c>
      <c r="I135" s="286"/>
      <c r="J135" s="276"/>
    </row>
    <row r="136" spans="1:13" s="306" customFormat="1" ht="228.75" x14ac:dyDescent="0.2">
      <c r="A136" s="420" t="s">
        <v>968</v>
      </c>
      <c r="B136" s="420" t="s">
        <v>969</v>
      </c>
      <c r="C136" s="420" t="s">
        <v>286</v>
      </c>
      <c r="D136" s="420" t="s">
        <v>970</v>
      </c>
      <c r="E136" s="267" t="s">
        <v>929</v>
      </c>
      <c r="F136" s="276" t="s">
        <v>699</v>
      </c>
      <c r="G136" s="276">
        <f>H136+I136</f>
        <v>68296</v>
      </c>
      <c r="H136" s="276">
        <f>'dod3'!E128</f>
        <v>68296</v>
      </c>
      <c r="I136" s="286">
        <f>'dod3'!J128</f>
        <v>0</v>
      </c>
      <c r="J136" s="286">
        <f>'dod3'!K128</f>
        <v>0</v>
      </c>
    </row>
    <row r="137" spans="1:13" ht="228.75" x14ac:dyDescent="0.2">
      <c r="A137" s="301" t="s">
        <v>53</v>
      </c>
      <c r="B137" s="301" t="s">
        <v>287</v>
      </c>
      <c r="C137" s="301" t="s">
        <v>286</v>
      </c>
      <c r="D137" s="420" t="s">
        <v>54</v>
      </c>
      <c r="E137" s="267" t="s">
        <v>929</v>
      </c>
      <c r="F137" s="276" t="s">
        <v>699</v>
      </c>
      <c r="G137" s="276">
        <f t="shared" ref="G137:G138" si="26">H137+I137</f>
        <v>1241749</v>
      </c>
      <c r="H137" s="276">
        <f>'dod3'!E129-H138</f>
        <v>1199749</v>
      </c>
      <c r="I137" s="286">
        <f>'dod3'!J129-I138</f>
        <v>42000</v>
      </c>
      <c r="J137" s="276">
        <f>'dod3'!K129-J138</f>
        <v>0</v>
      </c>
    </row>
    <row r="138" spans="1:13" ht="228.75" x14ac:dyDescent="0.2">
      <c r="A138" s="301" t="s">
        <v>53</v>
      </c>
      <c r="B138" s="301" t="s">
        <v>287</v>
      </c>
      <c r="C138" s="301" t="s">
        <v>286</v>
      </c>
      <c r="D138" s="420" t="s">
        <v>54</v>
      </c>
      <c r="E138" s="267" t="s">
        <v>733</v>
      </c>
      <c r="F138" s="265" t="s">
        <v>732</v>
      </c>
      <c r="G138" s="276">
        <f t="shared" si="26"/>
        <v>88165</v>
      </c>
      <c r="H138" s="276">
        <v>88165</v>
      </c>
      <c r="I138" s="286"/>
      <c r="J138" s="276"/>
    </row>
    <row r="139" spans="1:13" ht="274.5" x14ac:dyDescent="0.2">
      <c r="A139" s="301" t="s">
        <v>534</v>
      </c>
      <c r="B139" s="301" t="s">
        <v>533</v>
      </c>
      <c r="C139" s="301" t="s">
        <v>532</v>
      </c>
      <c r="D139" s="420" t="s">
        <v>531</v>
      </c>
      <c r="E139" s="267" t="s">
        <v>929</v>
      </c>
      <c r="F139" s="276" t="s">
        <v>699</v>
      </c>
      <c r="G139" s="276">
        <f t="shared" ref="G139:G141" si="27">H139+I139</f>
        <v>21000</v>
      </c>
      <c r="H139" s="276">
        <f>'dod3'!E130</f>
        <v>21000</v>
      </c>
      <c r="I139" s="286">
        <f>'dod3'!J130</f>
        <v>0</v>
      </c>
      <c r="J139" s="276">
        <f>'dod3'!K130</f>
        <v>0</v>
      </c>
    </row>
    <row r="140" spans="1:13" ht="228.75" x14ac:dyDescent="0.2">
      <c r="A140" s="420" t="s">
        <v>887</v>
      </c>
      <c r="B140" s="420" t="s">
        <v>288</v>
      </c>
      <c r="C140" s="420" t="s">
        <v>251</v>
      </c>
      <c r="D140" s="420" t="s">
        <v>57</v>
      </c>
      <c r="E140" s="267" t="s">
        <v>733</v>
      </c>
      <c r="F140" s="265" t="s">
        <v>732</v>
      </c>
      <c r="G140" s="276">
        <f t="shared" si="27"/>
        <v>99704</v>
      </c>
      <c r="H140" s="276">
        <f>'dod3'!E131</f>
        <v>0</v>
      </c>
      <c r="I140" s="286">
        <f>'dod3'!J131</f>
        <v>99704</v>
      </c>
      <c r="J140" s="286">
        <f>'dod3'!K131</f>
        <v>99704</v>
      </c>
    </row>
    <row r="141" spans="1:13" ht="228.75" x14ac:dyDescent="0.2">
      <c r="A141" s="423" t="s">
        <v>587</v>
      </c>
      <c r="B141" s="423" t="s">
        <v>589</v>
      </c>
      <c r="C141" s="423" t="s">
        <v>79</v>
      </c>
      <c r="D141" s="424" t="s">
        <v>790</v>
      </c>
      <c r="E141" s="267" t="s">
        <v>929</v>
      </c>
      <c r="F141" s="276" t="s">
        <v>699</v>
      </c>
      <c r="G141" s="276">
        <f t="shared" si="27"/>
        <v>350000</v>
      </c>
      <c r="H141" s="276">
        <f>'dod4'!F12</f>
        <v>260000</v>
      </c>
      <c r="I141" s="286">
        <f>'dod4'!G12</f>
        <v>90000</v>
      </c>
      <c r="J141" s="276">
        <f>'dod4'!H12</f>
        <v>0</v>
      </c>
    </row>
    <row r="142" spans="1:13" ht="91.5" hidden="1" x14ac:dyDescent="0.2">
      <c r="A142" s="251" t="s">
        <v>629</v>
      </c>
      <c r="B142" s="256" t="s">
        <v>591</v>
      </c>
      <c r="C142" s="256" t="s">
        <v>71</v>
      </c>
      <c r="D142" s="256" t="s">
        <v>592</v>
      </c>
      <c r="E142" s="259"/>
      <c r="F142" s="254"/>
      <c r="G142" s="254"/>
      <c r="H142" s="254"/>
      <c r="I142" s="258"/>
      <c r="J142" s="255"/>
    </row>
    <row r="143" spans="1:13" ht="180" x14ac:dyDescent="0.2">
      <c r="A143" s="377" t="s">
        <v>239</v>
      </c>
      <c r="B143" s="331"/>
      <c r="C143" s="331"/>
      <c r="D143" s="333" t="s">
        <v>42</v>
      </c>
      <c r="E143" s="331"/>
      <c r="F143" s="331"/>
      <c r="G143" s="331">
        <f>G144</f>
        <v>499760752.45999998</v>
      </c>
      <c r="H143" s="331">
        <f t="shared" ref="H143:J143" si="28">H144</f>
        <v>266417620</v>
      </c>
      <c r="I143" s="331">
        <f t="shared" si="28"/>
        <v>233343132.46000001</v>
      </c>
      <c r="J143" s="331">
        <f t="shared" si="28"/>
        <v>233313347.31</v>
      </c>
      <c r="K143" s="190" t="b">
        <f>H143='dod3'!E132-'dod3'!E134+160000</f>
        <v>1</v>
      </c>
      <c r="L143" s="190" t="b">
        <f>I143='dod3'!J133-'dod3'!J134-'dod3'!Q151</f>
        <v>1</v>
      </c>
      <c r="M143" s="191" t="b">
        <f>J143='dod3'!K133-'dod3'!K134</f>
        <v>1</v>
      </c>
    </row>
    <row r="144" spans="1:13" ht="180" x14ac:dyDescent="0.2">
      <c r="A144" s="283" t="s">
        <v>240</v>
      </c>
      <c r="B144" s="332"/>
      <c r="C144" s="332"/>
      <c r="D144" s="332" t="s">
        <v>63</v>
      </c>
      <c r="E144" s="332"/>
      <c r="F144" s="332"/>
      <c r="G144" s="332">
        <f>SUM(G145:G177)</f>
        <v>499760752.45999998</v>
      </c>
      <c r="H144" s="332">
        <f>SUM(H145:H177)</f>
        <v>266417620</v>
      </c>
      <c r="I144" s="332">
        <f>SUM(I145:I177)</f>
        <v>233343132.46000001</v>
      </c>
      <c r="J144" s="332">
        <f>SUM(J145:J177)</f>
        <v>233313347.31</v>
      </c>
    </row>
    <row r="145" spans="1:10" ht="228.75" x14ac:dyDescent="0.2">
      <c r="A145" s="420" t="s">
        <v>724</v>
      </c>
      <c r="B145" s="420" t="s">
        <v>336</v>
      </c>
      <c r="C145" s="420" t="s">
        <v>334</v>
      </c>
      <c r="D145" s="420" t="s">
        <v>335</v>
      </c>
      <c r="E145" s="267" t="s">
        <v>727</v>
      </c>
      <c r="F145" s="276" t="s">
        <v>726</v>
      </c>
      <c r="G145" s="266">
        <f t="shared" ref="G145:G146" si="29">H145+I145</f>
        <v>160000</v>
      </c>
      <c r="H145" s="417">
        <v>160000</v>
      </c>
      <c r="I145" s="417">
        <v>0</v>
      </c>
      <c r="J145" s="417">
        <v>0</v>
      </c>
    </row>
    <row r="146" spans="1:10" ht="232.5" x14ac:dyDescent="0.2">
      <c r="A146" s="420" t="s">
        <v>817</v>
      </c>
      <c r="B146" s="420" t="s">
        <v>71</v>
      </c>
      <c r="C146" s="420" t="s">
        <v>70</v>
      </c>
      <c r="D146" s="420" t="s">
        <v>349</v>
      </c>
      <c r="E146" s="266" t="s">
        <v>713</v>
      </c>
      <c r="F146" s="265" t="s">
        <v>717</v>
      </c>
      <c r="G146" s="266">
        <f t="shared" si="29"/>
        <v>146300</v>
      </c>
      <c r="H146" s="417">
        <f>'dod3'!E135</f>
        <v>146300</v>
      </c>
      <c r="I146" s="417">
        <f>'dod3'!J135</f>
        <v>0</v>
      </c>
      <c r="J146" s="417">
        <f>'dod3'!K135</f>
        <v>0</v>
      </c>
    </row>
    <row r="147" spans="1:10" ht="232.5" x14ac:dyDescent="0.2">
      <c r="A147" s="461" t="s">
        <v>412</v>
      </c>
      <c r="B147" s="461" t="s">
        <v>413</v>
      </c>
      <c r="C147" s="461" t="s">
        <v>532</v>
      </c>
      <c r="D147" s="461" t="s">
        <v>414</v>
      </c>
      <c r="E147" s="266" t="s">
        <v>713</v>
      </c>
      <c r="F147" s="265" t="s">
        <v>717</v>
      </c>
      <c r="G147" s="547">
        <f>H147+I147</f>
        <v>6733600</v>
      </c>
      <c r="H147" s="547">
        <f>'dod3'!E136-H148</f>
        <v>2183600</v>
      </c>
      <c r="I147" s="550">
        <f>'dod3'!J136-I148</f>
        <v>4550000</v>
      </c>
      <c r="J147" s="467">
        <f>'dod3'!K136-J148</f>
        <v>4550000</v>
      </c>
    </row>
    <row r="148" spans="1:10" ht="228.75" x14ac:dyDescent="0.2">
      <c r="A148" s="546"/>
      <c r="B148" s="546"/>
      <c r="C148" s="546"/>
      <c r="D148" s="546"/>
      <c r="E148" s="265" t="s">
        <v>714</v>
      </c>
      <c r="F148" s="265" t="s">
        <v>931</v>
      </c>
      <c r="G148" s="548"/>
      <c r="H148" s="548"/>
      <c r="I148" s="551"/>
      <c r="J148" s="558"/>
    </row>
    <row r="149" spans="1:10" ht="228.75" x14ac:dyDescent="0.2">
      <c r="A149" s="546"/>
      <c r="B149" s="546"/>
      <c r="C149" s="546"/>
      <c r="D149" s="546"/>
      <c r="E149" s="265" t="s">
        <v>914</v>
      </c>
      <c r="F149" s="265" t="s">
        <v>932</v>
      </c>
      <c r="G149" s="548"/>
      <c r="H149" s="548"/>
      <c r="I149" s="551"/>
      <c r="J149" s="558"/>
    </row>
    <row r="150" spans="1:10" ht="228.75" x14ac:dyDescent="0.2">
      <c r="A150" s="462"/>
      <c r="B150" s="462"/>
      <c r="C150" s="462"/>
      <c r="D150" s="462"/>
      <c r="E150" s="265" t="s">
        <v>915</v>
      </c>
      <c r="F150" s="265" t="s">
        <v>933</v>
      </c>
      <c r="G150" s="549"/>
      <c r="H150" s="549"/>
      <c r="I150" s="552"/>
      <c r="J150" s="559"/>
    </row>
    <row r="151" spans="1:10" ht="232.5" x14ac:dyDescent="0.2">
      <c r="A151" s="420" t="s">
        <v>631</v>
      </c>
      <c r="B151" s="420" t="s">
        <v>632</v>
      </c>
      <c r="C151" s="420" t="s">
        <v>415</v>
      </c>
      <c r="D151" s="420" t="s">
        <v>633</v>
      </c>
      <c r="E151" s="266" t="s">
        <v>713</v>
      </c>
      <c r="F151" s="265" t="s">
        <v>717</v>
      </c>
      <c r="G151" s="266">
        <f t="shared" ref="G151:G165" si="30">H151+I151</f>
        <v>29000000</v>
      </c>
      <c r="H151" s="266">
        <f>'dod3'!E137</f>
        <v>29000000</v>
      </c>
      <c r="I151" s="286">
        <f>'dod3'!J137</f>
        <v>0</v>
      </c>
      <c r="J151" s="276">
        <f>'dod3'!K137</f>
        <v>0</v>
      </c>
    </row>
    <row r="152" spans="1:10" ht="232.5" x14ac:dyDescent="0.2">
      <c r="A152" s="420" t="s">
        <v>419</v>
      </c>
      <c r="B152" s="420" t="s">
        <v>420</v>
      </c>
      <c r="C152" s="420" t="s">
        <v>415</v>
      </c>
      <c r="D152" s="420" t="s">
        <v>421</v>
      </c>
      <c r="E152" s="266" t="s">
        <v>713</v>
      </c>
      <c r="F152" s="265" t="s">
        <v>717</v>
      </c>
      <c r="G152" s="266">
        <f t="shared" si="30"/>
        <v>16553700</v>
      </c>
      <c r="H152" s="266">
        <f>'dod3'!E138</f>
        <v>16553700</v>
      </c>
      <c r="I152" s="286">
        <f>'dod3'!J138</f>
        <v>0</v>
      </c>
      <c r="J152" s="276">
        <f>'dod3'!K138</f>
        <v>0</v>
      </c>
    </row>
    <row r="153" spans="1:10" ht="232.5" x14ac:dyDescent="0.2">
      <c r="A153" s="420" t="s">
        <v>442</v>
      </c>
      <c r="B153" s="420" t="s">
        <v>443</v>
      </c>
      <c r="C153" s="420" t="s">
        <v>415</v>
      </c>
      <c r="D153" s="420" t="s">
        <v>444</v>
      </c>
      <c r="E153" s="266" t="s">
        <v>713</v>
      </c>
      <c r="F153" s="265" t="s">
        <v>717</v>
      </c>
      <c r="G153" s="266">
        <f t="shared" si="30"/>
        <v>5770000</v>
      </c>
      <c r="H153" s="266">
        <f>'dod3'!E139</f>
        <v>0</v>
      </c>
      <c r="I153" s="286">
        <f>'dod3'!J139</f>
        <v>5770000</v>
      </c>
      <c r="J153" s="276">
        <f>'dod3'!K139</f>
        <v>5770000</v>
      </c>
    </row>
    <row r="154" spans="1:10" ht="232.5" x14ac:dyDescent="0.2">
      <c r="A154" s="420" t="s">
        <v>416</v>
      </c>
      <c r="B154" s="420" t="s">
        <v>417</v>
      </c>
      <c r="C154" s="420" t="s">
        <v>415</v>
      </c>
      <c r="D154" s="420" t="s">
        <v>418</v>
      </c>
      <c r="E154" s="266" t="s">
        <v>713</v>
      </c>
      <c r="F154" s="265" t="s">
        <v>717</v>
      </c>
      <c r="G154" s="266">
        <f t="shared" si="30"/>
        <v>24060000</v>
      </c>
      <c r="H154" s="266">
        <f>'dod3'!E140-H155</f>
        <v>0</v>
      </c>
      <c r="I154" s="286">
        <f>'dod3'!J140-I155</f>
        <v>24060000</v>
      </c>
      <c r="J154" s="276">
        <f>'dod3'!K140-J155</f>
        <v>24060000</v>
      </c>
    </row>
    <row r="155" spans="1:10" ht="228.75" x14ac:dyDescent="0.2">
      <c r="A155" s="420" t="s">
        <v>416</v>
      </c>
      <c r="B155" s="420" t="s">
        <v>417</v>
      </c>
      <c r="C155" s="420" t="s">
        <v>415</v>
      </c>
      <c r="D155" s="420" t="s">
        <v>418</v>
      </c>
      <c r="E155" s="267" t="s">
        <v>733</v>
      </c>
      <c r="F155" s="265" t="s">
        <v>732</v>
      </c>
      <c r="G155" s="266">
        <f t="shared" si="30"/>
        <v>271028</v>
      </c>
      <c r="H155" s="266"/>
      <c r="I155" s="286">
        <v>271028</v>
      </c>
      <c r="J155" s="276">
        <v>271028</v>
      </c>
    </row>
    <row r="156" spans="1:10" ht="232.5" x14ac:dyDescent="0.2">
      <c r="A156" s="420" t="s">
        <v>436</v>
      </c>
      <c r="B156" s="420" t="s">
        <v>437</v>
      </c>
      <c r="C156" s="420" t="s">
        <v>415</v>
      </c>
      <c r="D156" s="420" t="s">
        <v>438</v>
      </c>
      <c r="E156" s="266" t="s">
        <v>713</v>
      </c>
      <c r="F156" s="265" t="s">
        <v>717</v>
      </c>
      <c r="G156" s="266">
        <f t="shared" si="30"/>
        <v>369575</v>
      </c>
      <c r="H156" s="266">
        <f>'dod3'!E141</f>
        <v>369575</v>
      </c>
      <c r="I156" s="286">
        <f>'dod3'!J141</f>
        <v>0</v>
      </c>
      <c r="J156" s="276">
        <f>'dod3'!K141</f>
        <v>0</v>
      </c>
    </row>
    <row r="157" spans="1:10" ht="194.25" customHeight="1" x14ac:dyDescent="0.2">
      <c r="A157" s="461" t="s">
        <v>422</v>
      </c>
      <c r="B157" s="461" t="s">
        <v>423</v>
      </c>
      <c r="C157" s="461" t="s">
        <v>415</v>
      </c>
      <c r="D157" s="461" t="s">
        <v>424</v>
      </c>
      <c r="E157" s="266" t="s">
        <v>713</v>
      </c>
      <c r="F157" s="265" t="s">
        <v>717</v>
      </c>
      <c r="G157" s="547">
        <f t="shared" si="30"/>
        <v>149553626</v>
      </c>
      <c r="H157" s="547">
        <f>'dod3'!E142</f>
        <v>125592225</v>
      </c>
      <c r="I157" s="547">
        <f>'dod3'!J142</f>
        <v>23961401</v>
      </c>
      <c r="J157" s="547">
        <f>'dod3'!K142</f>
        <v>23961401</v>
      </c>
    </row>
    <row r="158" spans="1:10" ht="232.5" x14ac:dyDescent="0.2">
      <c r="A158" s="464"/>
      <c r="B158" s="464"/>
      <c r="C158" s="464"/>
      <c r="D158" s="464"/>
      <c r="E158" s="266" t="s">
        <v>915</v>
      </c>
      <c r="F158" s="265" t="s">
        <v>933</v>
      </c>
      <c r="G158" s="464"/>
      <c r="H158" s="464"/>
      <c r="I158" s="464"/>
      <c r="J158" s="464"/>
    </row>
    <row r="159" spans="1:10" ht="232.5" x14ac:dyDescent="0.2">
      <c r="A159" s="420" t="s">
        <v>446</v>
      </c>
      <c r="B159" s="420" t="s">
        <v>447</v>
      </c>
      <c r="C159" s="420" t="s">
        <v>445</v>
      </c>
      <c r="D159" s="420" t="s">
        <v>448</v>
      </c>
      <c r="E159" s="266" t="s">
        <v>713</v>
      </c>
      <c r="F159" s="265" t="s">
        <v>717</v>
      </c>
      <c r="G159" s="266">
        <f t="shared" si="30"/>
        <v>8628600</v>
      </c>
      <c r="H159" s="266">
        <f>'dod3'!E143</f>
        <v>0</v>
      </c>
      <c r="I159" s="286">
        <f>'dod3'!J143</f>
        <v>8628600</v>
      </c>
      <c r="J159" s="276">
        <f>'dod3'!K143</f>
        <v>8628600</v>
      </c>
    </row>
    <row r="160" spans="1:10" ht="232.5" x14ac:dyDescent="0.2">
      <c r="A160" s="420" t="s">
        <v>841</v>
      </c>
      <c r="B160" s="420" t="s">
        <v>562</v>
      </c>
      <c r="C160" s="420" t="s">
        <v>251</v>
      </c>
      <c r="D160" s="420" t="s">
        <v>393</v>
      </c>
      <c r="E160" s="266" t="s">
        <v>713</v>
      </c>
      <c r="F160" s="265" t="s">
        <v>717</v>
      </c>
      <c r="G160" s="266">
        <f t="shared" si="30"/>
        <v>38028000</v>
      </c>
      <c r="H160" s="266">
        <f>'dod3'!E144</f>
        <v>0</v>
      </c>
      <c r="I160" s="286">
        <f>'dod3'!J144</f>
        <v>38028000</v>
      </c>
      <c r="J160" s="276">
        <f>'dod3'!K144</f>
        <v>38028000</v>
      </c>
    </row>
    <row r="161" spans="1:10" ht="232.5" x14ac:dyDescent="0.2">
      <c r="A161" s="420" t="s">
        <v>707</v>
      </c>
      <c r="B161" s="420" t="s">
        <v>708</v>
      </c>
      <c r="C161" s="420" t="s">
        <v>709</v>
      </c>
      <c r="D161" s="420" t="s">
        <v>710</v>
      </c>
      <c r="E161" s="266" t="s">
        <v>713</v>
      </c>
      <c r="F161" s="265" t="s">
        <v>717</v>
      </c>
      <c r="G161" s="266">
        <f t="shared" si="30"/>
        <v>0</v>
      </c>
      <c r="H161" s="266">
        <f>'dod3'!E145</f>
        <v>0</v>
      </c>
      <c r="I161" s="286">
        <f>'dod3'!J145</f>
        <v>0</v>
      </c>
      <c r="J161" s="276">
        <f>'dod3'!K145</f>
        <v>0</v>
      </c>
    </row>
    <row r="162" spans="1:10" ht="183" x14ac:dyDescent="0.2">
      <c r="A162" s="420" t="s">
        <v>425</v>
      </c>
      <c r="B162" s="420" t="s">
        <v>426</v>
      </c>
      <c r="C162" s="420" t="s">
        <v>428</v>
      </c>
      <c r="D162" s="420" t="s">
        <v>427</v>
      </c>
      <c r="E162" s="268" t="s">
        <v>715</v>
      </c>
      <c r="F162" s="265" t="s">
        <v>718</v>
      </c>
      <c r="G162" s="266">
        <f t="shared" si="30"/>
        <v>24482535</v>
      </c>
      <c r="H162" s="266">
        <f>'dod3'!E146</f>
        <v>24482535</v>
      </c>
      <c r="I162" s="286">
        <f>'dod3'!J146</f>
        <v>0</v>
      </c>
      <c r="J162" s="276">
        <f>'dod3'!K146</f>
        <v>0</v>
      </c>
    </row>
    <row r="163" spans="1:10" ht="232.5" x14ac:dyDescent="0.2">
      <c r="A163" s="420" t="s">
        <v>429</v>
      </c>
      <c r="B163" s="420" t="s">
        <v>430</v>
      </c>
      <c r="C163" s="420" t="s">
        <v>432</v>
      </c>
      <c r="D163" s="420" t="s">
        <v>431</v>
      </c>
      <c r="E163" s="266" t="s">
        <v>713</v>
      </c>
      <c r="F163" s="265" t="s">
        <v>717</v>
      </c>
      <c r="G163" s="266">
        <f t="shared" si="30"/>
        <v>149548385.78</v>
      </c>
      <c r="H163" s="266">
        <f>'dod3'!E147</f>
        <v>66101675</v>
      </c>
      <c r="I163" s="286">
        <f>'dod3'!J147</f>
        <v>83446710.780000001</v>
      </c>
      <c r="J163" s="276">
        <f>'dod3'!K147</f>
        <v>83416925.629999995</v>
      </c>
    </row>
    <row r="164" spans="1:10" s="416" customFormat="1" ht="232.5" x14ac:dyDescent="0.2">
      <c r="A164" s="420" t="s">
        <v>950</v>
      </c>
      <c r="B164" s="420" t="s">
        <v>951</v>
      </c>
      <c r="C164" s="420" t="s">
        <v>432</v>
      </c>
      <c r="D164" s="420" t="s">
        <v>952</v>
      </c>
      <c r="E164" s="266" t="s">
        <v>713</v>
      </c>
      <c r="F164" s="265" t="s">
        <v>717</v>
      </c>
      <c r="G164" s="266">
        <f t="shared" si="30"/>
        <v>1400000</v>
      </c>
      <c r="H164" s="426">
        <f>'dod3'!E148</f>
        <v>0</v>
      </c>
      <c r="I164" s="427">
        <f>'dod3'!J148</f>
        <v>1400000</v>
      </c>
      <c r="J164" s="417">
        <f>'dod3'!K148</f>
        <v>1400000</v>
      </c>
    </row>
    <row r="165" spans="1:10" ht="228.75" x14ac:dyDescent="0.2">
      <c r="A165" s="461" t="s">
        <v>433</v>
      </c>
      <c r="B165" s="461" t="s">
        <v>312</v>
      </c>
      <c r="C165" s="461" t="s">
        <v>313</v>
      </c>
      <c r="D165" s="461" t="s">
        <v>67</v>
      </c>
      <c r="E165" s="269" t="s">
        <v>713</v>
      </c>
      <c r="F165" s="265" t="s">
        <v>717</v>
      </c>
      <c r="G165" s="547">
        <f t="shared" si="30"/>
        <v>550000</v>
      </c>
      <c r="H165" s="547">
        <f>'dod3'!E149</f>
        <v>550000</v>
      </c>
      <c r="I165" s="550"/>
      <c r="J165" s="467"/>
    </row>
    <row r="166" spans="1:10" ht="232.5" x14ac:dyDescent="0.2">
      <c r="A166" s="546"/>
      <c r="B166" s="546"/>
      <c r="C166" s="546"/>
      <c r="D166" s="546"/>
      <c r="E166" s="266" t="s">
        <v>915</v>
      </c>
      <c r="F166" s="265" t="s">
        <v>933</v>
      </c>
      <c r="G166" s="548"/>
      <c r="H166" s="548"/>
      <c r="I166" s="551"/>
      <c r="J166" s="558"/>
    </row>
    <row r="167" spans="1:10" s="250" customFormat="1" ht="391.7" customHeight="1" x14ac:dyDescent="0.2">
      <c r="A167" s="546"/>
      <c r="B167" s="546"/>
      <c r="C167" s="546"/>
      <c r="D167" s="546"/>
      <c r="E167" s="270" t="s">
        <v>934</v>
      </c>
      <c r="F167" s="269" t="s">
        <v>935</v>
      </c>
      <c r="G167" s="548"/>
      <c r="H167" s="548"/>
      <c r="I167" s="551"/>
      <c r="J167" s="558"/>
    </row>
    <row r="168" spans="1:10" ht="409.6" customHeight="1" x14ac:dyDescent="0.2">
      <c r="A168" s="464"/>
      <c r="B168" s="464"/>
      <c r="C168" s="464"/>
      <c r="D168" s="464"/>
      <c r="E168" s="270" t="s">
        <v>937</v>
      </c>
      <c r="F168" s="269" t="s">
        <v>936</v>
      </c>
      <c r="G168" s="464"/>
      <c r="H168" s="464"/>
      <c r="I168" s="464"/>
      <c r="J168" s="464"/>
    </row>
    <row r="169" spans="1:10" ht="114" hidden="1" customHeight="1" x14ac:dyDescent="0.2">
      <c r="A169" s="420"/>
      <c r="B169" s="420"/>
      <c r="C169" s="420"/>
      <c r="D169" s="420"/>
      <c r="E169" s="269"/>
      <c r="F169" s="269"/>
      <c r="G169" s="452">
        <f>H170+I170</f>
        <v>700000</v>
      </c>
      <c r="H169" s="266"/>
      <c r="I169" s="286"/>
      <c r="J169" s="276"/>
    </row>
    <row r="170" spans="1:10" ht="409.5" x14ac:dyDescent="0.2">
      <c r="A170" s="461" t="s">
        <v>433</v>
      </c>
      <c r="B170" s="461" t="s">
        <v>312</v>
      </c>
      <c r="C170" s="461" t="s">
        <v>313</v>
      </c>
      <c r="D170" s="461" t="s">
        <v>67</v>
      </c>
      <c r="E170" s="265" t="s">
        <v>938</v>
      </c>
      <c r="F170" s="269" t="s">
        <v>939</v>
      </c>
      <c r="G170" s="545"/>
      <c r="H170" s="452"/>
      <c r="I170" s="452">
        <f>1000000-300000</f>
        <v>700000</v>
      </c>
      <c r="J170" s="452">
        <f>1000000-300000</f>
        <v>700000</v>
      </c>
    </row>
    <row r="171" spans="1:10" s="264" customFormat="1" ht="409.5" x14ac:dyDescent="0.2">
      <c r="A171" s="546"/>
      <c r="B171" s="546"/>
      <c r="C171" s="546"/>
      <c r="D171" s="546"/>
      <c r="E171" s="270" t="s">
        <v>937</v>
      </c>
      <c r="F171" s="269" t="s">
        <v>936</v>
      </c>
      <c r="G171" s="545"/>
      <c r="H171" s="544"/>
      <c r="I171" s="544"/>
      <c r="J171" s="544"/>
    </row>
    <row r="172" spans="1:10" ht="232.5" x14ac:dyDescent="0.2">
      <c r="A172" s="464"/>
      <c r="B172" s="464"/>
      <c r="C172" s="464"/>
      <c r="D172" s="464"/>
      <c r="E172" s="266" t="s">
        <v>915</v>
      </c>
      <c r="F172" s="265" t="s">
        <v>933</v>
      </c>
      <c r="G172" s="453"/>
      <c r="H172" s="545"/>
      <c r="I172" s="545"/>
      <c r="J172" s="545"/>
    </row>
    <row r="173" spans="1:10" ht="409.6" customHeight="1" x14ac:dyDescent="0.2">
      <c r="A173" s="461" t="s">
        <v>433</v>
      </c>
      <c r="B173" s="461" t="s">
        <v>312</v>
      </c>
      <c r="C173" s="461" t="s">
        <v>313</v>
      </c>
      <c r="D173" s="461" t="s">
        <v>67</v>
      </c>
      <c r="E173" s="271" t="s">
        <v>716</v>
      </c>
      <c r="F173" s="265" t="s">
        <v>796</v>
      </c>
      <c r="G173" s="452">
        <f>H173+I173</f>
        <v>250000</v>
      </c>
      <c r="H173" s="452"/>
      <c r="I173" s="452">
        <v>250000</v>
      </c>
      <c r="J173" s="452">
        <v>250000</v>
      </c>
    </row>
    <row r="174" spans="1:10" ht="232.5" x14ac:dyDescent="0.2">
      <c r="A174" s="464"/>
      <c r="B174" s="464"/>
      <c r="C174" s="464"/>
      <c r="D174" s="464"/>
      <c r="E174" s="266" t="s">
        <v>915</v>
      </c>
      <c r="F174" s="265" t="s">
        <v>916</v>
      </c>
      <c r="G174" s="545"/>
      <c r="H174" s="545"/>
      <c r="I174" s="545"/>
      <c r="J174" s="545"/>
    </row>
    <row r="175" spans="1:10" ht="232.5" x14ac:dyDescent="0.2">
      <c r="A175" s="420" t="s">
        <v>450</v>
      </c>
      <c r="B175" s="420" t="s">
        <v>288</v>
      </c>
      <c r="C175" s="420" t="s">
        <v>251</v>
      </c>
      <c r="D175" s="420" t="s">
        <v>57</v>
      </c>
      <c r="E175" s="266" t="s">
        <v>713</v>
      </c>
      <c r="F175" s="265" t="s">
        <v>717</v>
      </c>
      <c r="G175" s="266">
        <f>H175+I175</f>
        <v>42277392.68</v>
      </c>
      <c r="H175" s="266">
        <f>'dod3'!E150</f>
        <v>0</v>
      </c>
      <c r="I175" s="286">
        <f>'dod3'!J150</f>
        <v>42277392.68</v>
      </c>
      <c r="J175" s="276">
        <f>'dod3'!K150</f>
        <v>42277392.68</v>
      </c>
    </row>
    <row r="176" spans="1:10" ht="232.5" x14ac:dyDescent="0.2">
      <c r="A176" s="420" t="s">
        <v>434</v>
      </c>
      <c r="B176" s="420" t="s">
        <v>435</v>
      </c>
      <c r="C176" s="420" t="s">
        <v>382</v>
      </c>
      <c r="D176" s="420" t="s">
        <v>530</v>
      </c>
      <c r="E176" s="266" t="s">
        <v>713</v>
      </c>
      <c r="F176" s="265" t="s">
        <v>717</v>
      </c>
      <c r="G176" s="266">
        <f>H176+I176</f>
        <v>0</v>
      </c>
      <c r="H176" s="266"/>
      <c r="I176" s="286">
        <f t="shared" ref="I176" si="31">J176</f>
        <v>0</v>
      </c>
      <c r="J176" s="419"/>
    </row>
    <row r="177" spans="1:13" ht="409.5" x14ac:dyDescent="0.2">
      <c r="A177" s="420" t="s">
        <v>380</v>
      </c>
      <c r="B177" s="420" t="s">
        <v>381</v>
      </c>
      <c r="C177" s="420" t="s">
        <v>382</v>
      </c>
      <c r="D177" s="420" t="s">
        <v>379</v>
      </c>
      <c r="E177" s="265" t="s">
        <v>786</v>
      </c>
      <c r="F177" s="265" t="s">
        <v>719</v>
      </c>
      <c r="G177" s="266">
        <f>H177+I177</f>
        <v>1278010</v>
      </c>
      <c r="H177" s="266">
        <f>'dod3'!E153</f>
        <v>1278010</v>
      </c>
      <c r="I177" s="286">
        <f>'dod3'!J153</f>
        <v>0</v>
      </c>
      <c r="J177" s="276">
        <f>'dod3'!K153</f>
        <v>0</v>
      </c>
    </row>
    <row r="178" spans="1:13" ht="315" x14ac:dyDescent="0.2">
      <c r="A178" s="377" t="s">
        <v>44</v>
      </c>
      <c r="B178" s="331"/>
      <c r="C178" s="331"/>
      <c r="D178" s="333" t="s">
        <v>625</v>
      </c>
      <c r="E178" s="331"/>
      <c r="F178" s="331"/>
      <c r="G178" s="331">
        <f>G179</f>
        <v>112521930</v>
      </c>
      <c r="H178" s="331">
        <f>H179</f>
        <v>450850</v>
      </c>
      <c r="I178" s="331">
        <f>I179</f>
        <v>112071080</v>
      </c>
      <c r="J178" s="331">
        <f>J179</f>
        <v>112071080</v>
      </c>
    </row>
    <row r="179" spans="1:13" ht="270" x14ac:dyDescent="0.2">
      <c r="A179" s="283" t="s">
        <v>45</v>
      </c>
      <c r="B179" s="332"/>
      <c r="C179" s="332"/>
      <c r="D179" s="332" t="s">
        <v>624</v>
      </c>
      <c r="E179" s="332"/>
      <c r="F179" s="332"/>
      <c r="G179" s="332">
        <f>G183+G184+G185+G181+G182+G186+G180</f>
        <v>112521930</v>
      </c>
      <c r="H179" s="332">
        <f>H183+H184+H185+H181+H182+H186+H180</f>
        <v>450850</v>
      </c>
      <c r="I179" s="332">
        <f>I183+I184+I185+I181+I182+I186+I180</f>
        <v>112071080</v>
      </c>
      <c r="J179" s="332">
        <f>J183+J184+J185+J181+J182+J186+J180</f>
        <v>112071080</v>
      </c>
      <c r="K179" s="190" t="b">
        <f>H179='dod3'!E155-'dod3'!E156+55000</f>
        <v>1</v>
      </c>
      <c r="L179" s="190" t="b">
        <f>I179='dod3'!J155</f>
        <v>1</v>
      </c>
      <c r="M179" s="191" t="b">
        <f>J179='dod3'!K155</f>
        <v>1</v>
      </c>
    </row>
    <row r="180" spans="1:13" ht="228.75" x14ac:dyDescent="0.2">
      <c r="A180" s="420" t="s">
        <v>720</v>
      </c>
      <c r="B180" s="420" t="s">
        <v>336</v>
      </c>
      <c r="C180" s="420" t="s">
        <v>334</v>
      </c>
      <c r="D180" s="420" t="s">
        <v>335</v>
      </c>
      <c r="E180" s="267" t="s">
        <v>727</v>
      </c>
      <c r="F180" s="276" t="s">
        <v>726</v>
      </c>
      <c r="G180" s="276">
        <f>H180+I180</f>
        <v>72880</v>
      </c>
      <c r="H180" s="276">
        <v>55000</v>
      </c>
      <c r="I180" s="276">
        <f>(10400)+7480</f>
        <v>17880</v>
      </c>
      <c r="J180" s="276">
        <f>(10400)+7480</f>
        <v>17880</v>
      </c>
      <c r="K180" s="238"/>
      <c r="L180" s="238"/>
      <c r="M180" s="237"/>
    </row>
    <row r="181" spans="1:13" ht="137.25" x14ac:dyDescent="0.2">
      <c r="A181" s="420" t="s">
        <v>815</v>
      </c>
      <c r="B181" s="420" t="s">
        <v>71</v>
      </c>
      <c r="C181" s="420" t="s">
        <v>70</v>
      </c>
      <c r="D181" s="420" t="s">
        <v>349</v>
      </c>
      <c r="E181" s="267" t="s">
        <v>794</v>
      </c>
      <c r="F181" s="330" t="s">
        <v>795</v>
      </c>
      <c r="G181" s="276">
        <f>H181+I181</f>
        <v>395850</v>
      </c>
      <c r="H181" s="276">
        <f>'dod3'!E157</f>
        <v>395850</v>
      </c>
      <c r="I181" s="276">
        <f>'dod3'!J157</f>
        <v>0</v>
      </c>
      <c r="J181" s="276">
        <f>'dod3'!K157</f>
        <v>0</v>
      </c>
    </row>
    <row r="182" spans="1:13" ht="320.25" x14ac:dyDescent="0.2">
      <c r="A182" s="420" t="s">
        <v>819</v>
      </c>
      <c r="B182" s="420" t="s">
        <v>821</v>
      </c>
      <c r="C182" s="420" t="s">
        <v>286</v>
      </c>
      <c r="D182" s="420" t="s">
        <v>820</v>
      </c>
      <c r="E182" s="267" t="s">
        <v>794</v>
      </c>
      <c r="F182" s="330" t="s">
        <v>795</v>
      </c>
      <c r="G182" s="276">
        <f>H182+I182</f>
        <v>42787000</v>
      </c>
      <c r="H182" s="276">
        <f>'dod3'!E158</f>
        <v>0</v>
      </c>
      <c r="I182" s="276">
        <f>'dod3'!J158</f>
        <v>42787000</v>
      </c>
      <c r="J182" s="276">
        <f>'dod3'!K158</f>
        <v>42787000</v>
      </c>
    </row>
    <row r="183" spans="1:13" ht="137.25" x14ac:dyDescent="0.2">
      <c r="A183" s="420" t="s">
        <v>464</v>
      </c>
      <c r="B183" s="420" t="s">
        <v>465</v>
      </c>
      <c r="C183" s="420" t="s">
        <v>445</v>
      </c>
      <c r="D183" s="420" t="s">
        <v>463</v>
      </c>
      <c r="E183" s="267" t="s">
        <v>794</v>
      </c>
      <c r="F183" s="330" t="s">
        <v>795</v>
      </c>
      <c r="G183" s="276">
        <f>I183</f>
        <v>23900000</v>
      </c>
      <c r="H183" s="276"/>
      <c r="I183" s="276">
        <f>'dod3'!J159</f>
        <v>23900000</v>
      </c>
      <c r="J183" s="425">
        <f>I183</f>
        <v>23900000</v>
      </c>
    </row>
    <row r="184" spans="1:13" ht="137.25" x14ac:dyDescent="0.2">
      <c r="A184" s="420" t="s">
        <v>466</v>
      </c>
      <c r="B184" s="420" t="s">
        <v>467</v>
      </c>
      <c r="C184" s="420" t="s">
        <v>445</v>
      </c>
      <c r="D184" s="420" t="s">
        <v>468</v>
      </c>
      <c r="E184" s="267" t="s">
        <v>794</v>
      </c>
      <c r="F184" s="330" t="s">
        <v>795</v>
      </c>
      <c r="G184" s="276">
        <f t="shared" ref="G184:G185" si="32">I184</f>
        <v>950000</v>
      </c>
      <c r="H184" s="276"/>
      <c r="I184" s="276">
        <f>'dod3'!J160</f>
        <v>950000</v>
      </c>
      <c r="J184" s="425">
        <f>I184</f>
        <v>950000</v>
      </c>
    </row>
    <row r="185" spans="1:13" ht="137.25" x14ac:dyDescent="0.2">
      <c r="A185" s="420" t="s">
        <v>469</v>
      </c>
      <c r="B185" s="420" t="s">
        <v>470</v>
      </c>
      <c r="C185" s="420" t="s">
        <v>445</v>
      </c>
      <c r="D185" s="420" t="s">
        <v>789</v>
      </c>
      <c r="E185" s="267" t="s">
        <v>794</v>
      </c>
      <c r="F185" s="330" t="s">
        <v>795</v>
      </c>
      <c r="G185" s="276">
        <f t="shared" si="32"/>
        <v>17216200</v>
      </c>
      <c r="H185" s="276"/>
      <c r="I185" s="276">
        <f>'dod3'!J161</f>
        <v>17216200</v>
      </c>
      <c r="J185" s="276">
        <f>I185</f>
        <v>17216200</v>
      </c>
    </row>
    <row r="186" spans="1:13" ht="137.25" x14ac:dyDescent="0.2">
      <c r="A186" s="420" t="s">
        <v>917</v>
      </c>
      <c r="B186" s="420" t="s">
        <v>562</v>
      </c>
      <c r="C186" s="420" t="s">
        <v>251</v>
      </c>
      <c r="D186" s="420" t="s">
        <v>393</v>
      </c>
      <c r="E186" s="267" t="s">
        <v>794</v>
      </c>
      <c r="F186" s="330" t="s">
        <v>795</v>
      </c>
      <c r="G186" s="276">
        <f>H186+I186</f>
        <v>27200000</v>
      </c>
      <c r="H186" s="276">
        <f>'dod3'!E162</f>
        <v>0</v>
      </c>
      <c r="I186" s="276">
        <f>'dod3'!J162</f>
        <v>27200000</v>
      </c>
      <c r="J186" s="276">
        <f>'dod3'!K162</f>
        <v>27200000</v>
      </c>
    </row>
    <row r="187" spans="1:13" ht="315" x14ac:dyDescent="0.2">
      <c r="A187" s="331" t="s">
        <v>241</v>
      </c>
      <c r="B187" s="331"/>
      <c r="C187" s="331"/>
      <c r="D187" s="333" t="s">
        <v>847</v>
      </c>
      <c r="E187" s="331"/>
      <c r="F187" s="331"/>
      <c r="G187" s="331">
        <f>G188</f>
        <v>350100</v>
      </c>
      <c r="H187" s="331">
        <f t="shared" ref="H187:J187" si="33">H188</f>
        <v>253600</v>
      </c>
      <c r="I187" s="331">
        <f t="shared" si="33"/>
        <v>96500</v>
      </c>
      <c r="J187" s="331">
        <f t="shared" si="33"/>
        <v>96500</v>
      </c>
    </row>
    <row r="188" spans="1:13" ht="315" x14ac:dyDescent="0.2">
      <c r="A188" s="332" t="s">
        <v>242</v>
      </c>
      <c r="B188" s="332"/>
      <c r="C188" s="332"/>
      <c r="D188" s="332" t="s">
        <v>848</v>
      </c>
      <c r="E188" s="332"/>
      <c r="F188" s="332"/>
      <c r="G188" s="332">
        <f>G191+G189+G190</f>
        <v>350100</v>
      </c>
      <c r="H188" s="332">
        <f>H191+H189+H190</f>
        <v>253600</v>
      </c>
      <c r="I188" s="332">
        <f>I191+I189+I190</f>
        <v>96500</v>
      </c>
      <c r="J188" s="332">
        <f>J191+J189+J190</f>
        <v>96500</v>
      </c>
      <c r="K188" s="190" t="b">
        <f>H188='dod3'!E164-'dod3'!E165+55000</f>
        <v>1</v>
      </c>
      <c r="L188" s="190" t="b">
        <f>I188='dod3'!J164</f>
        <v>1</v>
      </c>
      <c r="M188" s="191" t="b">
        <f>J188='dod3'!K164</f>
        <v>1</v>
      </c>
    </row>
    <row r="189" spans="1:13" ht="228.75" x14ac:dyDescent="0.2">
      <c r="A189" s="311" t="s">
        <v>722</v>
      </c>
      <c r="B189" s="311" t="s">
        <v>336</v>
      </c>
      <c r="C189" s="311" t="s">
        <v>334</v>
      </c>
      <c r="D189" s="311" t="s">
        <v>335</v>
      </c>
      <c r="E189" s="267" t="s">
        <v>727</v>
      </c>
      <c r="F189" s="276" t="s">
        <v>726</v>
      </c>
      <c r="G189" s="276">
        <f>H189+I189</f>
        <v>81500</v>
      </c>
      <c r="H189" s="276">
        <v>55000</v>
      </c>
      <c r="I189" s="276">
        <v>26500</v>
      </c>
      <c r="J189" s="276">
        <v>26500</v>
      </c>
    </row>
    <row r="190" spans="1:13" s="306" customFormat="1" ht="137.25" x14ac:dyDescent="0.2">
      <c r="A190" s="311" t="s">
        <v>961</v>
      </c>
      <c r="B190" s="311" t="s">
        <v>71</v>
      </c>
      <c r="C190" s="311" t="s">
        <v>70</v>
      </c>
      <c r="D190" s="311" t="s">
        <v>349</v>
      </c>
      <c r="E190" s="267" t="s">
        <v>794</v>
      </c>
      <c r="F190" s="276"/>
      <c r="G190" s="276">
        <f>H190+I190</f>
        <v>198600</v>
      </c>
      <c r="H190" s="276">
        <f>'dod3'!E166</f>
        <v>198600</v>
      </c>
      <c r="I190" s="276"/>
      <c r="J190" s="276"/>
    </row>
    <row r="191" spans="1:13" ht="180.75" customHeight="1" x14ac:dyDescent="0.2">
      <c r="A191" s="311" t="s">
        <v>455</v>
      </c>
      <c r="B191" s="311" t="s">
        <v>456</v>
      </c>
      <c r="C191" s="311" t="s">
        <v>445</v>
      </c>
      <c r="D191" s="311" t="s">
        <v>457</v>
      </c>
      <c r="E191" s="267" t="s">
        <v>794</v>
      </c>
      <c r="F191" s="330" t="s">
        <v>795</v>
      </c>
      <c r="G191" s="276">
        <f>H191+I191</f>
        <v>70000</v>
      </c>
      <c r="H191" s="307"/>
      <c r="I191" s="276">
        <f>'dod3'!J167</f>
        <v>70000</v>
      </c>
      <c r="J191" s="276">
        <f>'dod3'!K167</f>
        <v>70000</v>
      </c>
    </row>
    <row r="192" spans="1:13" ht="135" x14ac:dyDescent="0.2">
      <c r="A192" s="331" t="s">
        <v>247</v>
      </c>
      <c r="B192" s="331"/>
      <c r="C192" s="331"/>
      <c r="D192" s="333" t="s">
        <v>567</v>
      </c>
      <c r="E192" s="331"/>
      <c r="F192" s="331"/>
      <c r="G192" s="331">
        <f>G193</f>
        <v>9554545</v>
      </c>
      <c r="H192" s="331">
        <f t="shared" ref="H192:J192" si="34">H193</f>
        <v>7200430.4800000004</v>
      </c>
      <c r="I192" s="331">
        <f t="shared" si="34"/>
        <v>2354114.52</v>
      </c>
      <c r="J192" s="331">
        <f t="shared" si="34"/>
        <v>2354114.52</v>
      </c>
      <c r="K192" s="190" t="b">
        <f>H192='dod3'!E169</f>
        <v>1</v>
      </c>
      <c r="L192" s="190" t="b">
        <f>I192='dod3'!J169</f>
        <v>1</v>
      </c>
      <c r="M192" s="191" t="b">
        <f>J192='dod3'!K169</f>
        <v>1</v>
      </c>
    </row>
    <row r="193" spans="1:13" ht="135" x14ac:dyDescent="0.2">
      <c r="A193" s="332" t="s">
        <v>248</v>
      </c>
      <c r="B193" s="332"/>
      <c r="C193" s="332"/>
      <c r="D193" s="332" t="s">
        <v>568</v>
      </c>
      <c r="E193" s="332"/>
      <c r="F193" s="332"/>
      <c r="G193" s="332">
        <f>SUM(G194:G200)</f>
        <v>9554545</v>
      </c>
      <c r="H193" s="332">
        <f t="shared" ref="H193:J193" si="35">SUM(H194:H200)</f>
        <v>7200430.4800000004</v>
      </c>
      <c r="I193" s="332">
        <f t="shared" si="35"/>
        <v>2354114.52</v>
      </c>
      <c r="J193" s="332">
        <f t="shared" si="35"/>
        <v>2354114.52</v>
      </c>
    </row>
    <row r="194" spans="1:13" ht="228.75" hidden="1" x14ac:dyDescent="0.2">
      <c r="A194" s="251" t="s">
        <v>561</v>
      </c>
      <c r="B194" s="251" t="s">
        <v>562</v>
      </c>
      <c r="C194" s="251" t="s">
        <v>251</v>
      </c>
      <c r="D194" s="251" t="s">
        <v>393</v>
      </c>
      <c r="E194" s="252" t="s">
        <v>733</v>
      </c>
      <c r="F194" s="257" t="s">
        <v>732</v>
      </c>
      <c r="G194" s="254">
        <f t="shared" ref="G194:G197" si="36">H194+I194</f>
        <v>0</v>
      </c>
      <c r="H194" s="253">
        <v>0</v>
      </c>
      <c r="I194" s="253">
        <f>(2000000)-2000000</f>
        <v>0</v>
      </c>
      <c r="J194" s="253">
        <f>(2000000)-2000000</f>
        <v>0</v>
      </c>
      <c r="K194" s="190" t="e">
        <f>H194+#REF!='dod3'!E170</f>
        <v>#REF!</v>
      </c>
      <c r="L194" s="190" t="e">
        <f>I194+#REF!='dod3'!J170</f>
        <v>#REF!</v>
      </c>
      <c r="M194" s="191" t="e">
        <f>J194+#REF!='dod3'!K170</f>
        <v>#REF!</v>
      </c>
    </row>
    <row r="195" spans="1:13" ht="183" x14ac:dyDescent="0.2">
      <c r="A195" s="420" t="s">
        <v>391</v>
      </c>
      <c r="B195" s="420" t="s">
        <v>392</v>
      </c>
      <c r="C195" s="420" t="s">
        <v>390</v>
      </c>
      <c r="D195" s="420" t="s">
        <v>389</v>
      </c>
      <c r="E195" s="267" t="s">
        <v>797</v>
      </c>
      <c r="F195" s="265" t="s">
        <v>798</v>
      </c>
      <c r="G195" s="266">
        <f>H195+I195</f>
        <v>4494349.4800000004</v>
      </c>
      <c r="H195" s="276">
        <f>(((2456650)-200000+828350)-37350.52)+1146700+100000</f>
        <v>4294349.4800000004</v>
      </c>
      <c r="I195" s="276">
        <v>200000</v>
      </c>
      <c r="J195" s="276">
        <v>200000</v>
      </c>
      <c r="K195" s="190" t="b">
        <f>H195+H196='dod3'!E171</f>
        <v>1</v>
      </c>
      <c r="L195" s="190" t="b">
        <f>I195+I196='dod3'!J171</f>
        <v>1</v>
      </c>
      <c r="M195" s="191" t="b">
        <f>J195+J196='dod3'!K171</f>
        <v>1</v>
      </c>
    </row>
    <row r="196" spans="1:13" ht="137.25" x14ac:dyDescent="0.2">
      <c r="A196" s="420" t="s">
        <v>391</v>
      </c>
      <c r="B196" s="420" t="s">
        <v>392</v>
      </c>
      <c r="C196" s="420" t="s">
        <v>390</v>
      </c>
      <c r="D196" s="420" t="s">
        <v>389</v>
      </c>
      <c r="E196" s="267" t="s">
        <v>594</v>
      </c>
      <c r="F196" s="265" t="s">
        <v>734</v>
      </c>
      <c r="G196" s="266">
        <f t="shared" si="36"/>
        <v>770000</v>
      </c>
      <c r="H196" s="276">
        <f>((200000)-100000)</f>
        <v>100000</v>
      </c>
      <c r="I196" s="276">
        <f>((570000)+100000)</f>
        <v>670000</v>
      </c>
      <c r="J196" s="276">
        <f>((570000)+100000)</f>
        <v>670000</v>
      </c>
    </row>
    <row r="197" spans="1:13" ht="232.5" x14ac:dyDescent="0.2">
      <c r="A197" s="420" t="s">
        <v>383</v>
      </c>
      <c r="B197" s="420" t="s">
        <v>385</v>
      </c>
      <c r="C197" s="420" t="s">
        <v>313</v>
      </c>
      <c r="D197" s="420" t="s">
        <v>384</v>
      </c>
      <c r="E197" s="276" t="s">
        <v>735</v>
      </c>
      <c r="F197" s="265" t="s">
        <v>736</v>
      </c>
      <c r="G197" s="266">
        <f t="shared" si="36"/>
        <v>320000</v>
      </c>
      <c r="H197" s="276">
        <f>(420000)-100000</f>
        <v>320000</v>
      </c>
      <c r="I197" s="276">
        <v>0</v>
      </c>
      <c r="J197" s="276">
        <v>0</v>
      </c>
      <c r="K197" s="190" t="b">
        <f>H197='dod3'!E172</f>
        <v>1</v>
      </c>
      <c r="L197" s="190" t="b">
        <f>I197='dod3'!J172</f>
        <v>1</v>
      </c>
      <c r="M197" s="191" t="b">
        <f>J197='dod3'!K172</f>
        <v>1</v>
      </c>
    </row>
    <row r="198" spans="1:13" ht="279" x14ac:dyDescent="0.2">
      <c r="A198" s="420" t="s">
        <v>387</v>
      </c>
      <c r="B198" s="420" t="s">
        <v>388</v>
      </c>
      <c r="C198" s="420" t="s">
        <v>251</v>
      </c>
      <c r="D198" s="420" t="s">
        <v>386</v>
      </c>
      <c r="E198" s="276" t="s">
        <v>799</v>
      </c>
      <c r="F198" s="265" t="s">
        <v>800</v>
      </c>
      <c r="G198" s="266">
        <f t="shared" ref="G198:G200" si="37">H198+I198</f>
        <v>1862000</v>
      </c>
      <c r="H198" s="276">
        <f>(1794000)+37000</f>
        <v>1831000</v>
      </c>
      <c r="I198" s="276">
        <v>31000</v>
      </c>
      <c r="J198" s="276">
        <v>31000</v>
      </c>
      <c r="K198" s="190" t="b">
        <f>'dod3'!E173=H198+H199</f>
        <v>1</v>
      </c>
      <c r="L198" s="190" t="b">
        <f>'dod3'!J173=I198+I199</f>
        <v>1</v>
      </c>
      <c r="M198" s="245" t="b">
        <f>'dod3'!K173=J198+J199</f>
        <v>1</v>
      </c>
    </row>
    <row r="199" spans="1:13" ht="232.5" x14ac:dyDescent="0.2">
      <c r="A199" s="420" t="s">
        <v>387</v>
      </c>
      <c r="B199" s="420" t="s">
        <v>388</v>
      </c>
      <c r="C199" s="420" t="s">
        <v>251</v>
      </c>
      <c r="D199" s="420" t="s">
        <v>386</v>
      </c>
      <c r="E199" s="276" t="s">
        <v>886</v>
      </c>
      <c r="F199" s="265" t="s">
        <v>885</v>
      </c>
      <c r="G199" s="266">
        <f t="shared" si="37"/>
        <v>808195.52</v>
      </c>
      <c r="H199" s="276">
        <f>((800000-100000)+37350.52-129155)+46885.48</f>
        <v>655081</v>
      </c>
      <c r="I199" s="276">
        <f>(200000)-46885.48</f>
        <v>153114.51999999999</v>
      </c>
      <c r="J199" s="276">
        <f>(200000)-46885.48</f>
        <v>153114.51999999999</v>
      </c>
      <c r="K199" s="190"/>
      <c r="L199" s="190"/>
      <c r="M199" s="191"/>
    </row>
    <row r="200" spans="1:13" ht="137.25" x14ac:dyDescent="0.2">
      <c r="A200" s="420" t="s">
        <v>897</v>
      </c>
      <c r="B200" s="420" t="s">
        <v>591</v>
      </c>
      <c r="C200" s="420" t="s">
        <v>71</v>
      </c>
      <c r="D200" s="420" t="s">
        <v>592</v>
      </c>
      <c r="E200" s="267" t="s">
        <v>794</v>
      </c>
      <c r="F200" s="330" t="s">
        <v>795</v>
      </c>
      <c r="G200" s="266">
        <f t="shared" si="37"/>
        <v>1300000</v>
      </c>
      <c r="H200" s="276"/>
      <c r="I200" s="276">
        <f>500000+800000</f>
        <v>1300000</v>
      </c>
      <c r="J200" s="276">
        <f>500000+800000</f>
        <v>1300000</v>
      </c>
      <c r="K200" s="190" t="b">
        <f>H200='dod3'!E174</f>
        <v>1</v>
      </c>
      <c r="L200" s="190" t="b">
        <f>I200='dod3'!J174</f>
        <v>1</v>
      </c>
      <c r="M200" s="245" t="b">
        <f>J200='dod3'!K174</f>
        <v>1</v>
      </c>
    </row>
    <row r="201" spans="1:13" ht="225" x14ac:dyDescent="0.2">
      <c r="A201" s="331" t="s">
        <v>245</v>
      </c>
      <c r="B201" s="331"/>
      <c r="C201" s="331"/>
      <c r="D201" s="333" t="s">
        <v>845</v>
      </c>
      <c r="E201" s="331"/>
      <c r="F201" s="331"/>
      <c r="G201" s="331">
        <f>G202</f>
        <v>1025905.96</v>
      </c>
      <c r="H201" s="331">
        <f t="shared" ref="H201:J201" si="38">H202</f>
        <v>35000</v>
      </c>
      <c r="I201" s="331">
        <f t="shared" si="38"/>
        <v>990905.96</v>
      </c>
      <c r="J201" s="331">
        <f t="shared" si="38"/>
        <v>0</v>
      </c>
      <c r="K201" s="190" t="b">
        <f>H201='dod3'!E176-'dod3'!E177+35000</f>
        <v>1</v>
      </c>
      <c r="L201" s="190" t="b">
        <f>I201='dod3'!J176</f>
        <v>1</v>
      </c>
      <c r="M201" s="191" t="b">
        <f>J201='dod3'!K176</f>
        <v>1</v>
      </c>
    </row>
    <row r="202" spans="1:13" ht="225" x14ac:dyDescent="0.2">
      <c r="A202" s="332" t="s">
        <v>246</v>
      </c>
      <c r="B202" s="332"/>
      <c r="C202" s="332"/>
      <c r="D202" s="332" t="s">
        <v>846</v>
      </c>
      <c r="E202" s="332"/>
      <c r="F202" s="332"/>
      <c r="G202" s="332">
        <f>SUM(G203:G206)</f>
        <v>1025905.96</v>
      </c>
      <c r="H202" s="332">
        <f>SUM(H203:H206)</f>
        <v>35000</v>
      </c>
      <c r="I202" s="332">
        <f t="shared" ref="I202:J202" si="39">SUM(I203:I206)</f>
        <v>990905.96</v>
      </c>
      <c r="J202" s="332">
        <f t="shared" si="39"/>
        <v>0</v>
      </c>
    </row>
    <row r="203" spans="1:13" ht="228.75" x14ac:dyDescent="0.2">
      <c r="A203" s="420" t="s">
        <v>725</v>
      </c>
      <c r="B203" s="420" t="s">
        <v>336</v>
      </c>
      <c r="C203" s="420" t="s">
        <v>334</v>
      </c>
      <c r="D203" s="420" t="s">
        <v>335</v>
      </c>
      <c r="E203" s="267" t="s">
        <v>727</v>
      </c>
      <c r="F203" s="276" t="s">
        <v>726</v>
      </c>
      <c r="G203" s="276">
        <f>H203+I203</f>
        <v>35000</v>
      </c>
      <c r="H203" s="276">
        <v>35000</v>
      </c>
      <c r="I203" s="276"/>
      <c r="J203" s="276"/>
    </row>
    <row r="204" spans="1:13" ht="137.25" x14ac:dyDescent="0.2">
      <c r="A204" s="420" t="s">
        <v>458</v>
      </c>
      <c r="B204" s="420" t="s">
        <v>459</v>
      </c>
      <c r="C204" s="420" t="s">
        <v>81</v>
      </c>
      <c r="D204" s="420" t="s">
        <v>82</v>
      </c>
      <c r="E204" s="267" t="s">
        <v>740</v>
      </c>
      <c r="F204" s="265" t="s">
        <v>741</v>
      </c>
      <c r="G204" s="266">
        <f t="shared" ref="G204:G206" si="40">H204+I204</f>
        <v>834616</v>
      </c>
      <c r="H204" s="276">
        <f>'dod3'!E178</f>
        <v>0</v>
      </c>
      <c r="I204" s="276">
        <f>'dod3'!J178</f>
        <v>834616</v>
      </c>
      <c r="J204" s="425">
        <f>'dod3'!K178</f>
        <v>0</v>
      </c>
    </row>
    <row r="205" spans="1:13" ht="137.25" x14ac:dyDescent="0.2">
      <c r="A205" s="420" t="s">
        <v>805</v>
      </c>
      <c r="B205" s="420" t="s">
        <v>806</v>
      </c>
      <c r="C205" s="420" t="s">
        <v>828</v>
      </c>
      <c r="D205" s="420" t="s">
        <v>827</v>
      </c>
      <c r="E205" s="267" t="s">
        <v>740</v>
      </c>
      <c r="F205" s="265" t="s">
        <v>741</v>
      </c>
      <c r="G205" s="266">
        <f>H205+I205</f>
        <v>56289.96</v>
      </c>
      <c r="H205" s="276">
        <f>'dod3'!E179</f>
        <v>0</v>
      </c>
      <c r="I205" s="276">
        <f>'dod3'!J179</f>
        <v>56289.96</v>
      </c>
      <c r="J205" s="425">
        <f>'dod3'!K179</f>
        <v>0</v>
      </c>
    </row>
    <row r="206" spans="1:13" ht="137.25" x14ac:dyDescent="0.2">
      <c r="A206" s="420" t="s">
        <v>460</v>
      </c>
      <c r="B206" s="420" t="s">
        <v>461</v>
      </c>
      <c r="C206" s="420" t="s">
        <v>83</v>
      </c>
      <c r="D206" s="420" t="s">
        <v>462</v>
      </c>
      <c r="E206" s="267" t="s">
        <v>740</v>
      </c>
      <c r="F206" s="265" t="s">
        <v>741</v>
      </c>
      <c r="G206" s="266">
        <f t="shared" si="40"/>
        <v>100000</v>
      </c>
      <c r="H206" s="276">
        <f>'dod3'!E180</f>
        <v>0</v>
      </c>
      <c r="I206" s="276">
        <f>'dod3'!J180</f>
        <v>100000</v>
      </c>
      <c r="J206" s="425">
        <f>'dod3'!K180</f>
        <v>0</v>
      </c>
    </row>
    <row r="207" spans="1:13" ht="360" x14ac:dyDescent="0.2">
      <c r="A207" s="331" t="s">
        <v>243</v>
      </c>
      <c r="B207" s="331"/>
      <c r="C207" s="331"/>
      <c r="D207" s="333" t="s">
        <v>849</v>
      </c>
      <c r="E207" s="331"/>
      <c r="F207" s="331"/>
      <c r="G207" s="331">
        <f>G208</f>
        <v>555000</v>
      </c>
      <c r="H207" s="331">
        <f t="shared" ref="H207:J207" si="41">H208</f>
        <v>55000</v>
      </c>
      <c r="I207" s="331">
        <f t="shared" si="41"/>
        <v>500000</v>
      </c>
      <c r="J207" s="331">
        <f t="shared" si="41"/>
        <v>500000</v>
      </c>
      <c r="K207" s="190" t="b">
        <f>H207='dod3'!E182-'dod3'!E183+55000</f>
        <v>1</v>
      </c>
      <c r="L207" s="190" t="b">
        <f>I207='dod3'!J182</f>
        <v>1</v>
      </c>
      <c r="M207" s="191" t="b">
        <f>J207='dod3'!K182</f>
        <v>1</v>
      </c>
    </row>
    <row r="208" spans="1:13" ht="360" x14ac:dyDescent="0.2">
      <c r="A208" s="332" t="s">
        <v>244</v>
      </c>
      <c r="B208" s="332"/>
      <c r="C208" s="332"/>
      <c r="D208" s="332" t="s">
        <v>850</v>
      </c>
      <c r="E208" s="332"/>
      <c r="F208" s="332"/>
      <c r="G208" s="332">
        <f>SUM(G209:G211)</f>
        <v>555000</v>
      </c>
      <c r="H208" s="332">
        <f t="shared" ref="H208:J208" si="42">SUM(H209:H211)</f>
        <v>55000</v>
      </c>
      <c r="I208" s="332">
        <f t="shared" si="42"/>
        <v>500000</v>
      </c>
      <c r="J208" s="332">
        <f t="shared" si="42"/>
        <v>500000</v>
      </c>
    </row>
    <row r="209" spans="1:17" ht="228.75" x14ac:dyDescent="0.2">
      <c r="A209" s="336" t="s">
        <v>721</v>
      </c>
      <c r="B209" s="336" t="s">
        <v>336</v>
      </c>
      <c r="C209" s="336" t="s">
        <v>334</v>
      </c>
      <c r="D209" s="336" t="s">
        <v>335</v>
      </c>
      <c r="E209" s="267" t="s">
        <v>727</v>
      </c>
      <c r="F209" s="276" t="s">
        <v>726</v>
      </c>
      <c r="G209" s="276">
        <f>H209+I209</f>
        <v>55000</v>
      </c>
      <c r="H209" s="276">
        <v>55000</v>
      </c>
      <c r="I209" s="276"/>
      <c r="J209" s="276"/>
    </row>
    <row r="210" spans="1:17" ht="137.25" x14ac:dyDescent="0.2">
      <c r="A210" s="336" t="s">
        <v>452</v>
      </c>
      <c r="B210" s="336" t="s">
        <v>453</v>
      </c>
      <c r="C210" s="336" t="s">
        <v>454</v>
      </c>
      <c r="D210" s="336" t="s">
        <v>451</v>
      </c>
      <c r="E210" s="267" t="s">
        <v>794</v>
      </c>
      <c r="F210" s="330" t="s">
        <v>795</v>
      </c>
      <c r="G210" s="266">
        <f t="shared" ref="G210:G211" si="43">H210+I210</f>
        <v>410000</v>
      </c>
      <c r="H210" s="276">
        <f>'dod3'!E184</f>
        <v>0</v>
      </c>
      <c r="I210" s="276">
        <f>'dod3'!J184</f>
        <v>410000</v>
      </c>
      <c r="J210" s="276">
        <f>'dod3'!K184</f>
        <v>410000</v>
      </c>
    </row>
    <row r="211" spans="1:17" ht="137.25" x14ac:dyDescent="0.2">
      <c r="A211" s="336" t="s">
        <v>600</v>
      </c>
      <c r="B211" s="336" t="s">
        <v>601</v>
      </c>
      <c r="C211" s="336" t="s">
        <v>251</v>
      </c>
      <c r="D211" s="336" t="s">
        <v>602</v>
      </c>
      <c r="E211" s="267" t="s">
        <v>794</v>
      </c>
      <c r="F211" s="330" t="s">
        <v>795</v>
      </c>
      <c r="G211" s="266">
        <f t="shared" si="43"/>
        <v>90000</v>
      </c>
      <c r="H211" s="276">
        <f>'dod3'!E185</f>
        <v>0</v>
      </c>
      <c r="I211" s="276">
        <f>'dod3'!J185</f>
        <v>90000</v>
      </c>
      <c r="J211" s="276">
        <f>'dod3'!K185</f>
        <v>90000</v>
      </c>
    </row>
    <row r="212" spans="1:17" ht="135" x14ac:dyDescent="0.2">
      <c r="A212" s="331" t="s">
        <v>249</v>
      </c>
      <c r="B212" s="331"/>
      <c r="C212" s="331"/>
      <c r="D212" s="333" t="s">
        <v>48</v>
      </c>
      <c r="E212" s="331"/>
      <c r="F212" s="331"/>
      <c r="G212" s="331">
        <f>G213</f>
        <v>90000</v>
      </c>
      <c r="H212" s="331">
        <f t="shared" ref="H212:J212" si="44">H213</f>
        <v>40000</v>
      </c>
      <c r="I212" s="331">
        <f t="shared" si="44"/>
        <v>50000</v>
      </c>
      <c r="J212" s="331">
        <f t="shared" si="44"/>
        <v>50000</v>
      </c>
    </row>
    <row r="213" spans="1:17" ht="135" x14ac:dyDescent="0.2">
      <c r="A213" s="332" t="s">
        <v>250</v>
      </c>
      <c r="B213" s="332"/>
      <c r="C213" s="332"/>
      <c r="D213" s="332" t="s">
        <v>66</v>
      </c>
      <c r="E213" s="332"/>
      <c r="F213" s="332"/>
      <c r="G213" s="332">
        <f>SUM(G214)</f>
        <v>90000</v>
      </c>
      <c r="H213" s="332">
        <f t="shared" ref="H213:J213" si="45">SUM(H214)</f>
        <v>40000</v>
      </c>
      <c r="I213" s="332">
        <f t="shared" si="45"/>
        <v>50000</v>
      </c>
      <c r="J213" s="332">
        <f t="shared" si="45"/>
        <v>50000</v>
      </c>
    </row>
    <row r="214" spans="1:17" ht="228.75" x14ac:dyDescent="0.2">
      <c r="A214" s="311" t="s">
        <v>723</v>
      </c>
      <c r="B214" s="311" t="s">
        <v>336</v>
      </c>
      <c r="C214" s="311" t="s">
        <v>334</v>
      </c>
      <c r="D214" s="311" t="s">
        <v>335</v>
      </c>
      <c r="E214" s="267" t="s">
        <v>727</v>
      </c>
      <c r="F214" s="276" t="s">
        <v>726</v>
      </c>
      <c r="G214" s="266">
        <f>H214+I214</f>
        <v>90000</v>
      </c>
      <c r="H214" s="276">
        <v>40000</v>
      </c>
      <c r="I214" s="276">
        <v>50000</v>
      </c>
      <c r="J214" s="276">
        <v>50000</v>
      </c>
    </row>
    <row r="215" spans="1:17" ht="81.75" customHeight="1" x14ac:dyDescent="1.1499999999999999">
      <c r="A215" s="182" t="s">
        <v>640</v>
      </c>
      <c r="B215" s="182" t="s">
        <v>640</v>
      </c>
      <c r="C215" s="182" t="s">
        <v>640</v>
      </c>
      <c r="D215" s="183" t="s">
        <v>656</v>
      </c>
      <c r="E215" s="182" t="s">
        <v>640</v>
      </c>
      <c r="F215" s="182" t="s">
        <v>640</v>
      </c>
      <c r="G215" s="138">
        <f>G12+G27+G123+G44+G60+G108+G144+G179+G188+G213+G193+G202+G208</f>
        <v>3034052515.2400002</v>
      </c>
      <c r="H215" s="138">
        <f>H12+H27+H123+H44+H60+H108+H144+H179+H188+H213+H193+H202+H208</f>
        <v>2460444888.2600002</v>
      </c>
      <c r="I215" s="138">
        <f>I12+I27+I123+I44+I60+I108+I144+I179+I188+I213+I193+I202+I208</f>
        <v>573607626.98000002</v>
      </c>
      <c r="J215" s="138">
        <f>J12+J27+J123+J44+J59+J108+J144+J179+J188+J213+J193+J202+J208</f>
        <v>451676705.87</v>
      </c>
      <c r="K215" s="214" t="b">
        <f>G215=H215+I215</f>
        <v>1</v>
      </c>
    </row>
    <row r="216" spans="1:17" ht="31.7" customHeight="1" x14ac:dyDescent="0.2">
      <c r="A216" s="455" t="s">
        <v>449</v>
      </c>
      <c r="B216" s="456"/>
      <c r="C216" s="456"/>
      <c r="D216" s="456"/>
      <c r="E216" s="456"/>
      <c r="F216" s="456"/>
      <c r="G216" s="456"/>
      <c r="H216" s="456"/>
      <c r="I216" s="456"/>
      <c r="J216" s="456"/>
    </row>
    <row r="217" spans="1:17" ht="31.7" customHeight="1" x14ac:dyDescent="0.2">
      <c r="A217" s="117"/>
      <c r="B217" s="118"/>
      <c r="C217" s="118"/>
      <c r="D217" s="118"/>
      <c r="E217" s="118"/>
      <c r="F217" s="118"/>
      <c r="G217" s="118"/>
      <c r="H217" s="118"/>
      <c r="I217" s="118"/>
      <c r="J217" s="118"/>
    </row>
    <row r="218" spans="1:17" ht="61.5" customHeight="1" x14ac:dyDescent="0.65">
      <c r="A218" s="7"/>
      <c r="B218" s="7"/>
      <c r="C218" s="7"/>
      <c r="D218" s="454" t="s">
        <v>985</v>
      </c>
      <c r="E218" s="454"/>
      <c r="F218" s="454"/>
      <c r="G218" s="454"/>
      <c r="H218" s="454"/>
      <c r="I218" s="454"/>
      <c r="J218" s="454"/>
      <c r="K218" s="454"/>
      <c r="L218" s="454"/>
      <c r="M218" s="454"/>
      <c r="N218" s="454"/>
      <c r="O218" s="454"/>
      <c r="P218" s="454"/>
      <c r="Q218" s="454"/>
    </row>
    <row r="219" spans="1:17" ht="45.75" x14ac:dyDescent="0.55000000000000004">
      <c r="D219" s="179"/>
      <c r="E219" s="21"/>
      <c r="F219" s="129"/>
      <c r="G219" s="179"/>
      <c r="H219" s="179"/>
      <c r="I219" s="129"/>
      <c r="J219" s="21"/>
      <c r="K219" s="13"/>
      <c r="L219" s="13"/>
      <c r="M219" s="13"/>
      <c r="N219" s="13"/>
      <c r="O219" s="13"/>
      <c r="P219" s="13"/>
      <c r="Q219" s="13"/>
    </row>
    <row r="220" spans="1:17" ht="45.75" x14ac:dyDescent="0.65">
      <c r="D220" s="454"/>
      <c r="E220" s="454"/>
      <c r="F220" s="454"/>
      <c r="G220" s="454"/>
      <c r="H220" s="454"/>
      <c r="I220" s="454"/>
      <c r="J220" s="454"/>
      <c r="K220" s="13"/>
      <c r="L220" s="13"/>
      <c r="M220" s="13"/>
      <c r="N220" s="13"/>
      <c r="O220" s="13"/>
      <c r="P220" s="13"/>
      <c r="Q220" s="13"/>
    </row>
    <row r="221" spans="1:17" x14ac:dyDescent="0.2">
      <c r="E221" s="4"/>
      <c r="F221" s="3"/>
    </row>
    <row r="222" spans="1:17" x14ac:dyDescent="0.2">
      <c r="E222" s="4"/>
      <c r="F222" s="3"/>
    </row>
    <row r="223" spans="1:17" ht="62.25" x14ac:dyDescent="0.8">
      <c r="A223"/>
      <c r="B223"/>
      <c r="C223"/>
      <c r="D223"/>
      <c r="E223" s="21"/>
      <c r="F223" s="129"/>
      <c r="I223"/>
      <c r="J223" s="153"/>
    </row>
    <row r="224" spans="1:17" ht="45.75" x14ac:dyDescent="0.2">
      <c r="E224" s="22"/>
      <c r="F224" s="179"/>
    </row>
    <row r="225" spans="1:10" ht="45.75" x14ac:dyDescent="0.2">
      <c r="A225"/>
      <c r="B225"/>
      <c r="C225"/>
      <c r="D225"/>
      <c r="E225" s="21"/>
      <c r="F225" s="129"/>
      <c r="I225"/>
      <c r="J225"/>
    </row>
    <row r="226" spans="1:10" ht="45.75" x14ac:dyDescent="0.2">
      <c r="E226" s="22"/>
      <c r="F226" s="179"/>
    </row>
    <row r="227" spans="1:10" ht="45.75" x14ac:dyDescent="0.2">
      <c r="E227" s="22"/>
      <c r="F227" s="179"/>
    </row>
    <row r="228" spans="1:10" ht="45.75" x14ac:dyDescent="0.2">
      <c r="E228" s="22"/>
      <c r="F228" s="179"/>
    </row>
    <row r="229" spans="1:10" ht="45.75" x14ac:dyDescent="0.2">
      <c r="A229"/>
      <c r="B229"/>
      <c r="C229"/>
      <c r="D229"/>
      <c r="E229" s="22"/>
      <c r="F229" s="179"/>
      <c r="G229"/>
      <c r="H229"/>
      <c r="I229"/>
      <c r="J229"/>
    </row>
    <row r="230" spans="1:10" ht="45.75" x14ac:dyDescent="0.2">
      <c r="A230"/>
      <c r="B230"/>
      <c r="C230"/>
      <c r="D230"/>
      <c r="E230" s="22"/>
      <c r="F230" s="179"/>
      <c r="G230"/>
      <c r="H230"/>
      <c r="I230"/>
      <c r="J230"/>
    </row>
    <row r="231" spans="1:10" ht="45.75" x14ac:dyDescent="0.2">
      <c r="A231"/>
      <c r="B231"/>
      <c r="C231"/>
      <c r="D231"/>
      <c r="E231" s="22"/>
      <c r="F231" s="179"/>
      <c r="G231"/>
      <c r="H231"/>
      <c r="I231"/>
      <c r="J231"/>
    </row>
    <row r="232" spans="1:10" ht="45.75" x14ac:dyDescent="0.2">
      <c r="A232"/>
      <c r="B232"/>
      <c r="C232"/>
      <c r="D232"/>
      <c r="E232" s="22"/>
      <c r="F232" s="179"/>
      <c r="G232"/>
      <c r="H232"/>
      <c r="I232"/>
      <c r="J232"/>
    </row>
  </sheetData>
  <mergeCells count="85">
    <mergeCell ref="E8:E9"/>
    <mergeCell ref="F24:F25"/>
    <mergeCell ref="A157:A158"/>
    <mergeCell ref="B157:B158"/>
    <mergeCell ref="C157:C158"/>
    <mergeCell ref="D157:D158"/>
    <mergeCell ref="A147:A150"/>
    <mergeCell ref="B147:B150"/>
    <mergeCell ref="A99:A101"/>
    <mergeCell ref="B99:B101"/>
    <mergeCell ref="C99:C101"/>
    <mergeCell ref="E99:E101"/>
    <mergeCell ref="F99:F101"/>
    <mergeCell ref="A8:A9"/>
    <mergeCell ref="B8:B9"/>
    <mergeCell ref="C8:C9"/>
    <mergeCell ref="I1:J1"/>
    <mergeCell ref="I2:J2"/>
    <mergeCell ref="I3:J3"/>
    <mergeCell ref="A5:J5"/>
    <mergeCell ref="A6:J6"/>
    <mergeCell ref="D8:D9"/>
    <mergeCell ref="D218:Q218"/>
    <mergeCell ref="D220:J220"/>
    <mergeCell ref="A216:J216"/>
    <mergeCell ref="A165:A168"/>
    <mergeCell ref="B165:B168"/>
    <mergeCell ref="C165:C168"/>
    <mergeCell ref="D165:D168"/>
    <mergeCell ref="G165:G168"/>
    <mergeCell ref="K42:M42"/>
    <mergeCell ref="F8:F9"/>
    <mergeCell ref="G8:G9"/>
    <mergeCell ref="H165:H168"/>
    <mergeCell ref="I165:I168"/>
    <mergeCell ref="J157:J158"/>
    <mergeCell ref="J165:J168"/>
    <mergeCell ref="H8:H9"/>
    <mergeCell ref="I8:J8"/>
    <mergeCell ref="G99:G101"/>
    <mergeCell ref="H99:H101"/>
    <mergeCell ref="I99:I101"/>
    <mergeCell ref="J99:J101"/>
    <mergeCell ref="H24:H25"/>
    <mergeCell ref="G157:G158"/>
    <mergeCell ref="H157:H158"/>
    <mergeCell ref="I157:I158"/>
    <mergeCell ref="I24:I25"/>
    <mergeCell ref="J24:J25"/>
    <mergeCell ref="G85:G86"/>
    <mergeCell ref="H85:H86"/>
    <mergeCell ref="I85:I86"/>
    <mergeCell ref="J85:J86"/>
    <mergeCell ref="J147:J150"/>
    <mergeCell ref="A24:A25"/>
    <mergeCell ref="B24:B25"/>
    <mergeCell ref="C24:C25"/>
    <mergeCell ref="D24:D25"/>
    <mergeCell ref="G24:G25"/>
    <mergeCell ref="A85:A86"/>
    <mergeCell ref="B85:B86"/>
    <mergeCell ref="C85:C86"/>
    <mergeCell ref="E85:E86"/>
    <mergeCell ref="F85:F86"/>
    <mergeCell ref="C147:C150"/>
    <mergeCell ref="D147:D150"/>
    <mergeCell ref="G147:G150"/>
    <mergeCell ref="H147:H150"/>
    <mergeCell ref="I147:I150"/>
    <mergeCell ref="H170:H172"/>
    <mergeCell ref="I170:I172"/>
    <mergeCell ref="J170:J172"/>
    <mergeCell ref="A173:A174"/>
    <mergeCell ref="B173:B174"/>
    <mergeCell ref="C173:C174"/>
    <mergeCell ref="D173:D174"/>
    <mergeCell ref="G173:G174"/>
    <mergeCell ref="H173:H174"/>
    <mergeCell ref="I173:I174"/>
    <mergeCell ref="J173:J174"/>
    <mergeCell ref="A170:A172"/>
    <mergeCell ref="B170:B172"/>
    <mergeCell ref="C170:C172"/>
    <mergeCell ref="D170:D172"/>
    <mergeCell ref="G169:G172"/>
  </mergeCells>
  <pageMargins left="0.23622047244094491" right="0.27559055118110237" top="0.27559055118110237" bottom="0.15748031496062992" header="0.23622047244094491" footer="0.27559055118110237"/>
  <pageSetup paperSize="9" scale="18" fitToHeight="0" orientation="landscape" r:id="rId1"/>
  <headerFooter alignWithMargins="0">
    <oddFooter>&amp;C&amp;"Times New Roman Cyr,курсив"Сторінка &amp;P з &amp;N</oddFooter>
  </headerFooter>
  <rowBreaks count="1" manualBreakCount="1">
    <brk id="39"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9">
    <pageSetUpPr fitToPage="1"/>
  </sheetPr>
  <dimension ref="A3:L15"/>
  <sheetViews>
    <sheetView tabSelected="1" view="pageBreakPreview" topLeftCell="A10" zoomScaleNormal="100" zoomScaleSheetLayoutView="100" workbookViewId="0">
      <selection activeCell="K15" sqref="K15"/>
    </sheetView>
  </sheetViews>
  <sheetFormatPr defaultColWidth="9.140625" defaultRowHeight="12.75" x14ac:dyDescent="0.2"/>
  <cols>
    <col min="1" max="1" width="13.85546875" style="223" customWidth="1"/>
    <col min="2" max="2" width="13.7109375" style="223" customWidth="1"/>
    <col min="3" max="3" width="13.85546875" style="223" customWidth="1"/>
    <col min="4" max="4" width="20.85546875" style="223" customWidth="1"/>
    <col min="5" max="5" width="12.28515625" style="223" customWidth="1"/>
    <col min="6" max="6" width="17" style="223" customWidth="1"/>
    <col min="7" max="7" width="14" style="223" customWidth="1"/>
    <col min="8" max="8" width="11.7109375" style="223" customWidth="1"/>
    <col min="9" max="9" width="12" style="223" customWidth="1"/>
    <col min="10" max="11" width="12.140625" style="223" customWidth="1"/>
    <col min="12" max="12" width="11.5703125" style="223" customWidth="1"/>
    <col min="13" max="16384" width="9.140625" style="223"/>
  </cols>
  <sheetData>
    <row r="3" spans="1:12" ht="15.75" customHeight="1" x14ac:dyDescent="0.2">
      <c r="A3" s="222"/>
      <c r="B3" s="222"/>
      <c r="C3" s="222"/>
      <c r="D3" s="222"/>
      <c r="E3" s="222"/>
      <c r="F3" s="222"/>
      <c r="G3" s="222"/>
      <c r="H3" s="222"/>
      <c r="I3" s="222"/>
      <c r="J3" s="565" t="s">
        <v>749</v>
      </c>
      <c r="K3" s="565"/>
      <c r="L3" s="565"/>
    </row>
    <row r="4" spans="1:12" ht="15.75" x14ac:dyDescent="0.2">
      <c r="A4" s="224"/>
      <c r="B4" s="224"/>
      <c r="C4" s="224"/>
      <c r="D4" s="224"/>
      <c r="E4" s="224"/>
      <c r="F4" s="224"/>
      <c r="G4" s="224"/>
      <c r="H4" s="224"/>
      <c r="I4" s="224"/>
      <c r="J4" s="224"/>
      <c r="K4" s="224"/>
      <c r="L4" s="224"/>
    </row>
    <row r="5" spans="1:12" ht="15.75" x14ac:dyDescent="0.2">
      <c r="A5" s="224"/>
      <c r="B5" s="224"/>
      <c r="C5" s="224"/>
      <c r="D5" s="224"/>
      <c r="E5" s="224"/>
      <c r="F5" s="224"/>
      <c r="G5" s="224"/>
      <c r="H5" s="224"/>
      <c r="I5" s="224"/>
      <c r="J5" s="224"/>
      <c r="K5" s="224"/>
      <c r="L5" s="224"/>
    </row>
    <row r="6" spans="1:12" ht="18.75" customHeight="1" x14ac:dyDescent="0.2">
      <c r="A6" s="566" t="s">
        <v>750</v>
      </c>
      <c r="B6" s="566"/>
      <c r="C6" s="566"/>
      <c r="D6" s="566"/>
      <c r="E6" s="566"/>
      <c r="F6" s="566"/>
      <c r="G6" s="566"/>
      <c r="H6" s="566"/>
      <c r="I6" s="566"/>
      <c r="J6" s="566"/>
      <c r="K6" s="566"/>
      <c r="L6" s="566"/>
    </row>
    <row r="7" spans="1:12" ht="40.700000000000003" customHeight="1" x14ac:dyDescent="0.2">
      <c r="A7" s="567" t="s">
        <v>751</v>
      </c>
      <c r="B7" s="567"/>
      <c r="C7" s="567"/>
      <c r="D7" s="567"/>
      <c r="E7" s="567"/>
      <c r="F7" s="567"/>
      <c r="G7" s="567"/>
      <c r="H7" s="567"/>
      <c r="I7" s="567"/>
      <c r="J7" s="567"/>
      <c r="K7" s="567"/>
      <c r="L7" s="567"/>
    </row>
    <row r="8" spans="1:12" ht="33.75" customHeight="1" x14ac:dyDescent="0.2">
      <c r="A8" s="564" t="s">
        <v>752</v>
      </c>
      <c r="B8" s="564" t="s">
        <v>753</v>
      </c>
      <c r="C8" s="564" t="s">
        <v>754</v>
      </c>
      <c r="D8" s="564" t="s">
        <v>755</v>
      </c>
      <c r="E8" s="564" t="s">
        <v>756</v>
      </c>
      <c r="F8" s="564" t="s">
        <v>757</v>
      </c>
      <c r="G8" s="564" t="s">
        <v>758</v>
      </c>
      <c r="H8" s="564" t="s">
        <v>759</v>
      </c>
      <c r="I8" s="564" t="s">
        <v>760</v>
      </c>
      <c r="J8" s="564"/>
      <c r="K8" s="564"/>
      <c r="L8" s="564" t="s">
        <v>761</v>
      </c>
    </row>
    <row r="9" spans="1:12" ht="163.5" customHeight="1" x14ac:dyDescent="0.2">
      <c r="A9" s="564"/>
      <c r="B9" s="564"/>
      <c r="C9" s="564"/>
      <c r="D9" s="564"/>
      <c r="E9" s="564"/>
      <c r="F9" s="564"/>
      <c r="G9" s="564"/>
      <c r="H9" s="564"/>
      <c r="I9" s="225" t="s">
        <v>762</v>
      </c>
      <c r="J9" s="225" t="s">
        <v>763</v>
      </c>
      <c r="K9" s="225" t="s">
        <v>764</v>
      </c>
      <c r="L9" s="564"/>
    </row>
    <row r="10" spans="1:12" x14ac:dyDescent="0.2">
      <c r="A10" s="226">
        <v>1</v>
      </c>
      <c r="B10" s="226">
        <v>2</v>
      </c>
      <c r="C10" s="226">
        <v>3</v>
      </c>
      <c r="D10" s="226">
        <v>4</v>
      </c>
      <c r="E10" s="226">
        <v>5</v>
      </c>
      <c r="F10" s="226">
        <v>6</v>
      </c>
      <c r="G10" s="226">
        <v>7</v>
      </c>
      <c r="H10" s="226">
        <v>8</v>
      </c>
      <c r="I10" s="226">
        <v>9</v>
      </c>
      <c r="J10" s="226">
        <v>10</v>
      </c>
      <c r="K10" s="226">
        <v>11</v>
      </c>
      <c r="L10" s="226">
        <v>12</v>
      </c>
    </row>
    <row r="11" spans="1:12" ht="110.25" x14ac:dyDescent="0.2">
      <c r="A11" s="227" t="s">
        <v>311</v>
      </c>
      <c r="B11" s="228">
        <v>7640</v>
      </c>
      <c r="C11" s="227" t="s">
        <v>313</v>
      </c>
      <c r="D11" s="228" t="s">
        <v>765</v>
      </c>
      <c r="E11" s="228" t="s">
        <v>766</v>
      </c>
      <c r="F11" s="228" t="s">
        <v>767</v>
      </c>
      <c r="G11" s="228" t="s">
        <v>768</v>
      </c>
      <c r="H11" s="228" t="s">
        <v>769</v>
      </c>
      <c r="I11" s="228" t="s">
        <v>770</v>
      </c>
      <c r="J11" s="229">
        <v>11839.748</v>
      </c>
      <c r="K11" s="229">
        <v>11839.748</v>
      </c>
      <c r="L11" s="229">
        <v>1183.9749999999999</v>
      </c>
    </row>
    <row r="12" spans="1:12" ht="12.75" customHeight="1" x14ac:dyDescent="0.2">
      <c r="A12" s="230" t="s">
        <v>771</v>
      </c>
      <c r="B12" s="230" t="s">
        <v>771</v>
      </c>
      <c r="C12" s="230" t="s">
        <v>771</v>
      </c>
      <c r="D12" s="231" t="s">
        <v>656</v>
      </c>
      <c r="E12" s="230" t="s">
        <v>771</v>
      </c>
      <c r="F12" s="230" t="s">
        <v>771</v>
      </c>
      <c r="G12" s="230" t="s">
        <v>771</v>
      </c>
      <c r="H12" s="230" t="s">
        <v>771</v>
      </c>
      <c r="I12" s="230" t="s">
        <v>771</v>
      </c>
      <c r="J12" s="229">
        <v>11839.748</v>
      </c>
      <c r="K12" s="229">
        <v>11839.748</v>
      </c>
      <c r="L12" s="229">
        <v>1183.9749999999999</v>
      </c>
    </row>
    <row r="13" spans="1:12" ht="15" x14ac:dyDescent="0.2">
      <c r="A13" s="232"/>
    </row>
    <row r="14" spans="1:12" ht="15.75" x14ac:dyDescent="0.2">
      <c r="B14" s="222" t="s">
        <v>980</v>
      </c>
      <c r="I14" s="232"/>
      <c r="K14" s="222" t="s">
        <v>981</v>
      </c>
    </row>
    <row r="15" spans="1:12" ht="15.75" x14ac:dyDescent="0.2">
      <c r="B15" s="222"/>
      <c r="G15" s="232"/>
      <c r="K15" s="222"/>
    </row>
  </sheetData>
  <mergeCells count="13">
    <mergeCell ref="H8:H9"/>
    <mergeCell ref="I8:K8"/>
    <mergeCell ref="L8:L9"/>
    <mergeCell ref="J3:L3"/>
    <mergeCell ref="A6:L6"/>
    <mergeCell ref="A7:L7"/>
    <mergeCell ref="A8:A9"/>
    <mergeCell ref="B8:B9"/>
    <mergeCell ref="C8:C9"/>
    <mergeCell ref="D8:D9"/>
    <mergeCell ref="E8:E9"/>
    <mergeCell ref="F8:F9"/>
    <mergeCell ref="G8:G9"/>
  </mergeCells>
  <pageMargins left="0.19685039370078741" right="0.19685039370078741" top="0.19685039370078741" bottom="0.19685039370078741" header="0" footer="0"/>
  <pageSetup paperSize="9" scale="8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9</vt:i4>
      </vt:variant>
      <vt:variant>
        <vt:lpstr>Іменовані діапазони</vt:lpstr>
      </vt:variant>
      <vt:variant>
        <vt:i4>11</vt:i4>
      </vt:variant>
    </vt:vector>
  </HeadingPairs>
  <TitlesOfParts>
    <vt:vector size="20" baseType="lpstr">
      <vt:lpstr>дод1</vt:lpstr>
      <vt:lpstr>dod2</vt:lpstr>
      <vt:lpstr>dod3</vt:lpstr>
      <vt:lpstr>dod4</vt:lpstr>
      <vt:lpstr>dod5</vt:lpstr>
      <vt:lpstr>dod6</vt:lpstr>
      <vt:lpstr>dod7</vt:lpstr>
      <vt:lpstr>dod8</vt:lpstr>
      <vt:lpstr>dod9</vt:lpstr>
      <vt:lpstr>'dod3'!Заголовки_для_друку</vt:lpstr>
      <vt:lpstr>'dod5'!Заголовки_для_друку</vt:lpstr>
      <vt:lpstr>'dod8'!Заголовки_для_друку</vt:lpstr>
      <vt:lpstr>'dod2'!Область_друку</vt:lpstr>
      <vt:lpstr>'dod3'!Область_друку</vt:lpstr>
      <vt:lpstr>'dod4'!Область_друку</vt:lpstr>
      <vt:lpstr>'dod5'!Область_друку</vt:lpstr>
      <vt:lpstr>'dod6'!Область_друку</vt:lpstr>
      <vt:lpstr>'dod7'!Область_друку</vt:lpstr>
      <vt:lpstr>'dod8'!Область_друку</vt:lpstr>
      <vt:lpstr>дод1!Область_друку</vt:lpstr>
    </vt:vector>
  </TitlesOfParts>
  <Company>Міське фінуправління</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Власюк Олена</dc:creator>
  <cp:lastModifiedBy>Полюк Роман Анатолійович</cp:lastModifiedBy>
  <cp:lastPrinted>2019-09-23T08:38:14Z</cp:lastPrinted>
  <dcterms:created xsi:type="dcterms:W3CDTF">2001-12-03T09:30:42Z</dcterms:created>
  <dcterms:modified xsi:type="dcterms:W3CDTF">2019-09-23T11:47:02Z</dcterms:modified>
</cp:coreProperties>
</file>