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ЦяКнига"/>
  <mc:AlternateContent xmlns:mc="http://schemas.openxmlformats.org/markup-compatibility/2006">
    <mc:Choice Requires="x15">
      <x15ac:absPath xmlns:x15ac="http://schemas.microsoft.com/office/spreadsheetml/2010/11/ac" url="\\server\zagvid\рішення 2019\28.11.2019\"/>
    </mc:Choice>
  </mc:AlternateContent>
  <bookViews>
    <workbookView xWindow="0" yWindow="0" windowWidth="22500" windowHeight="8070" tabRatio="585" firstSheet="10" activeTab="14"/>
  </bookViews>
  <sheets>
    <sheet name="d1" sheetId="126" r:id="rId1"/>
    <sheet name="d2" sheetId="127" r:id="rId2"/>
    <sheet name="d3" sheetId="97" r:id="rId3"/>
    <sheet name="d4" sheetId="107" r:id="rId4"/>
    <sheet name="d5" sheetId="137" r:id="rId5"/>
    <sheet name="d6" sheetId="108" r:id="rId6"/>
    <sheet name="d7" sheetId="116" r:id="rId7"/>
    <sheet name="d8" sheetId="125" r:id="rId8"/>
    <sheet name="d9" sheetId="128" r:id="rId9"/>
    <sheet name="d3-чистий" sheetId="141" r:id="rId10"/>
    <sheet name="Різниця-чиста" sheetId="142" r:id="rId11"/>
    <sheet name="d3-10" sheetId="140" r:id="rId12"/>
    <sheet name="Різниця міжсесійна" sheetId="144" r:id="rId13"/>
    <sheet name="d3 до МВК" sheetId="145" r:id="rId14"/>
    <sheet name="Різниця після МВК" sheetId="146" r:id="rId15"/>
  </sheets>
  <definedNames>
    <definedName name="_GoBack" localSheetId="4">'d5'!#REF!</definedName>
    <definedName name="_xlnm.Print_Titles" localSheetId="2">'d3'!$9:$12</definedName>
    <definedName name="_xlnm.Print_Titles" localSheetId="13">'d3 до МВК'!$9:$12</definedName>
    <definedName name="_xlnm.Print_Titles" localSheetId="11">'d3-10'!$9:$12</definedName>
    <definedName name="_xlnm.Print_Titles" localSheetId="9">'d3-чистий'!$9:$12</definedName>
    <definedName name="_xlnm.Print_Titles" localSheetId="4">'d5'!$4:$5</definedName>
    <definedName name="_xlnm.Print_Titles" localSheetId="7">'d8'!$8:$10</definedName>
    <definedName name="_xlnm.Print_Titles" localSheetId="12">'Різниця міжсесійна'!$9:$12</definedName>
    <definedName name="_xlnm.Print_Titles" localSheetId="14">'Різниця після МВК'!$9:$12</definedName>
    <definedName name="_xlnm.Print_Titles" localSheetId="10">'Різниця-чиста'!$9:$12</definedName>
    <definedName name="_xlnm.Print_Area" localSheetId="0">'d1'!$A$1:$F$122</definedName>
    <definedName name="_xlnm.Print_Area" localSheetId="1">'d2'!$A$1:$F$37</definedName>
    <definedName name="_xlnm.Print_Area" localSheetId="2">'d3'!$A$2:$P$206</definedName>
    <definedName name="_xlnm.Print_Area" localSheetId="13">'d3 до МВК'!$A$2:$P$206</definedName>
    <definedName name="_xlnm.Print_Area" localSheetId="11">'d3-10'!$A$2:$P$200</definedName>
    <definedName name="_xlnm.Print_Area" localSheetId="9">'d3-чистий'!$A$2:$P$205</definedName>
    <definedName name="_xlnm.Print_Area" localSheetId="3">'d4'!$B$1:$Q$18</definedName>
    <definedName name="_xlnm.Print_Area" localSheetId="4">'d5'!$A$1:$J$212</definedName>
    <definedName name="_xlnm.Print_Area" localSheetId="5">'d6'!$A$1:$E$35</definedName>
    <definedName name="_xlnm.Print_Area" localSheetId="6">'d7'!$A$1:$F$23</definedName>
    <definedName name="_xlnm.Print_Area" localSheetId="7">'d8'!$A$1:$J$226</definedName>
    <definedName name="_xlnm.Print_Area" localSheetId="12">'Різниця міжсесійна'!$A$2:$P$199</definedName>
    <definedName name="_xlnm.Print_Area" localSheetId="14">'Різниця після МВК'!$A$2:$P$199</definedName>
    <definedName name="_xlnm.Print_Area" localSheetId="10">'Різниця-чиста'!$A$2:$P$199</definedName>
    <definedName name="С16" localSheetId="0">#REF!</definedName>
    <definedName name="С16" localSheetId="1">#REF!</definedName>
    <definedName name="С16" localSheetId="7">#REF!</definedName>
    <definedName name="С16">#REF!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97" i="146" l="1"/>
  <c r="O197" i="146"/>
  <c r="N197" i="146"/>
  <c r="M197" i="146"/>
  <c r="L197" i="146"/>
  <c r="K197" i="146"/>
  <c r="J197" i="146"/>
  <c r="I197" i="146"/>
  <c r="H197" i="146"/>
  <c r="G197" i="146"/>
  <c r="F197" i="146"/>
  <c r="E197" i="146"/>
  <c r="P196" i="146"/>
  <c r="O196" i="146"/>
  <c r="N196" i="146"/>
  <c r="M196" i="146"/>
  <c r="L196" i="146"/>
  <c r="K196" i="146"/>
  <c r="J196" i="146"/>
  <c r="I196" i="146"/>
  <c r="H196" i="146"/>
  <c r="G196" i="146"/>
  <c r="F196" i="146"/>
  <c r="E196" i="146"/>
  <c r="P195" i="146"/>
  <c r="O195" i="146"/>
  <c r="N195" i="146"/>
  <c r="M195" i="146"/>
  <c r="L195" i="146"/>
  <c r="K195" i="146"/>
  <c r="J195" i="146"/>
  <c r="I195" i="146"/>
  <c r="H195" i="146"/>
  <c r="G195" i="146"/>
  <c r="F195" i="146"/>
  <c r="E195" i="146"/>
  <c r="P194" i="146"/>
  <c r="O194" i="146"/>
  <c r="N194" i="146"/>
  <c r="M194" i="146"/>
  <c r="L194" i="146"/>
  <c r="K194" i="146"/>
  <c r="J194" i="146"/>
  <c r="I194" i="146"/>
  <c r="I193" i="146" s="1"/>
  <c r="I192" i="146" s="1"/>
  <c r="H194" i="146"/>
  <c r="G194" i="146"/>
  <c r="F194" i="146"/>
  <c r="E194" i="146"/>
  <c r="E193" i="146" s="1"/>
  <c r="E192" i="146" s="1"/>
  <c r="P191" i="146"/>
  <c r="O191" i="146"/>
  <c r="N191" i="146"/>
  <c r="M191" i="146"/>
  <c r="L191" i="146"/>
  <c r="K191" i="146"/>
  <c r="J191" i="146"/>
  <c r="I191" i="146"/>
  <c r="H191" i="146"/>
  <c r="G191" i="146"/>
  <c r="F191" i="146"/>
  <c r="E191" i="146"/>
  <c r="P190" i="146"/>
  <c r="O190" i="146"/>
  <c r="N190" i="146"/>
  <c r="M190" i="146"/>
  <c r="L190" i="146"/>
  <c r="K190" i="146"/>
  <c r="J190" i="146"/>
  <c r="I190" i="146"/>
  <c r="H190" i="146"/>
  <c r="G190" i="146"/>
  <c r="F190" i="146"/>
  <c r="E190" i="146"/>
  <c r="P189" i="146"/>
  <c r="O189" i="146"/>
  <c r="N189" i="146"/>
  <c r="M189" i="146"/>
  <c r="M188" i="146" s="1"/>
  <c r="M187" i="146" s="1"/>
  <c r="L189" i="146"/>
  <c r="K189" i="146"/>
  <c r="J189" i="146"/>
  <c r="I189" i="146"/>
  <c r="I188" i="146" s="1"/>
  <c r="I187" i="146" s="1"/>
  <c r="H189" i="146"/>
  <c r="G189" i="146"/>
  <c r="F189" i="146"/>
  <c r="E189" i="146"/>
  <c r="E188" i="146" s="1"/>
  <c r="P188" i="146" s="1"/>
  <c r="P187" i="146" s="1"/>
  <c r="P186" i="146"/>
  <c r="O186" i="146"/>
  <c r="N186" i="146"/>
  <c r="M186" i="146"/>
  <c r="L186" i="146"/>
  <c r="K186" i="146"/>
  <c r="J186" i="146"/>
  <c r="I186" i="146"/>
  <c r="H186" i="146"/>
  <c r="G186" i="146"/>
  <c r="F186" i="146"/>
  <c r="E186" i="146"/>
  <c r="P185" i="146"/>
  <c r="O185" i="146"/>
  <c r="N185" i="146"/>
  <c r="M185" i="146"/>
  <c r="L185" i="146"/>
  <c r="K185" i="146"/>
  <c r="J185" i="146"/>
  <c r="I185" i="146"/>
  <c r="H185" i="146"/>
  <c r="G185" i="146"/>
  <c r="F185" i="146"/>
  <c r="E185" i="146"/>
  <c r="P184" i="146"/>
  <c r="O184" i="146"/>
  <c r="N184" i="146"/>
  <c r="M184" i="146"/>
  <c r="L184" i="146"/>
  <c r="K184" i="146"/>
  <c r="J184" i="146"/>
  <c r="I184" i="146"/>
  <c r="H184" i="146"/>
  <c r="G184" i="146"/>
  <c r="F184" i="146"/>
  <c r="E184" i="146"/>
  <c r="P183" i="146"/>
  <c r="O183" i="146"/>
  <c r="N183" i="146"/>
  <c r="M183" i="146"/>
  <c r="L183" i="146"/>
  <c r="K183" i="146"/>
  <c r="J183" i="146"/>
  <c r="I183" i="146"/>
  <c r="H183" i="146"/>
  <c r="G183" i="146"/>
  <c r="F183" i="146"/>
  <c r="E183" i="146"/>
  <c r="P182" i="146"/>
  <c r="O182" i="146"/>
  <c r="N182" i="146"/>
  <c r="M182" i="146"/>
  <c r="L182" i="146"/>
  <c r="K182" i="146"/>
  <c r="J182" i="146"/>
  <c r="I182" i="146"/>
  <c r="I181" i="146" s="1"/>
  <c r="I180" i="146" s="1"/>
  <c r="H182" i="146"/>
  <c r="G182" i="146"/>
  <c r="F182" i="146"/>
  <c r="E182" i="146"/>
  <c r="E181" i="146" s="1"/>
  <c r="P181" i="146" s="1"/>
  <c r="P180" i="146" s="1"/>
  <c r="P179" i="146"/>
  <c r="O179" i="146"/>
  <c r="N179" i="146"/>
  <c r="M179" i="146"/>
  <c r="L179" i="146"/>
  <c r="K179" i="146"/>
  <c r="J179" i="146"/>
  <c r="I179" i="146"/>
  <c r="H179" i="146"/>
  <c r="G179" i="146"/>
  <c r="F179" i="146"/>
  <c r="E179" i="146"/>
  <c r="P178" i="146"/>
  <c r="O178" i="146"/>
  <c r="N178" i="146"/>
  <c r="M178" i="146"/>
  <c r="L178" i="146"/>
  <c r="K178" i="146"/>
  <c r="J178" i="146"/>
  <c r="I178" i="146"/>
  <c r="H178" i="146"/>
  <c r="G178" i="146"/>
  <c r="F178" i="146"/>
  <c r="E178" i="146"/>
  <c r="P177" i="146"/>
  <c r="O177" i="146"/>
  <c r="N177" i="146"/>
  <c r="M177" i="146"/>
  <c r="L177" i="146"/>
  <c r="K177" i="146"/>
  <c r="J177" i="146"/>
  <c r="I177" i="146"/>
  <c r="H177" i="146"/>
  <c r="G177" i="146"/>
  <c r="F177" i="146"/>
  <c r="E177" i="146"/>
  <c r="P176" i="146"/>
  <c r="O176" i="146"/>
  <c r="N176" i="146"/>
  <c r="M176" i="146"/>
  <c r="L176" i="146"/>
  <c r="K176" i="146"/>
  <c r="J176" i="146"/>
  <c r="I176" i="146"/>
  <c r="I174" i="146" s="1"/>
  <c r="I173" i="146" s="1"/>
  <c r="H176" i="146"/>
  <c r="G176" i="146"/>
  <c r="F176" i="146"/>
  <c r="E176" i="146"/>
  <c r="E174" i="146" s="1"/>
  <c r="P172" i="146"/>
  <c r="O172" i="146"/>
  <c r="N172" i="146"/>
  <c r="M172" i="146"/>
  <c r="L172" i="146"/>
  <c r="K172" i="146"/>
  <c r="J172" i="146"/>
  <c r="I172" i="146"/>
  <c r="H172" i="146"/>
  <c r="G172" i="146"/>
  <c r="F172" i="146"/>
  <c r="E172" i="146"/>
  <c r="P171" i="146"/>
  <c r="O171" i="146"/>
  <c r="N171" i="146"/>
  <c r="M171" i="146"/>
  <c r="L171" i="146"/>
  <c r="K171" i="146"/>
  <c r="J171" i="146"/>
  <c r="I171" i="146"/>
  <c r="H171" i="146"/>
  <c r="G171" i="146"/>
  <c r="F171" i="146"/>
  <c r="E171" i="146"/>
  <c r="P170" i="146"/>
  <c r="O170" i="146"/>
  <c r="N170" i="146"/>
  <c r="M170" i="146"/>
  <c r="M169" i="146" s="1"/>
  <c r="M168" i="146" s="1"/>
  <c r="L170" i="146"/>
  <c r="K170" i="146"/>
  <c r="J170" i="146"/>
  <c r="I170" i="146"/>
  <c r="I169" i="146" s="1"/>
  <c r="I168" i="146" s="1"/>
  <c r="H170" i="146"/>
  <c r="G170" i="146"/>
  <c r="F170" i="146"/>
  <c r="E170" i="146"/>
  <c r="E169" i="146" s="1"/>
  <c r="E168" i="146" s="1"/>
  <c r="P167" i="146"/>
  <c r="O167" i="146"/>
  <c r="N167" i="146"/>
  <c r="M167" i="146"/>
  <c r="L167" i="146"/>
  <c r="K167" i="146"/>
  <c r="J167" i="146"/>
  <c r="I167" i="146"/>
  <c r="H167" i="146"/>
  <c r="G167" i="146"/>
  <c r="F167" i="146"/>
  <c r="E167" i="146"/>
  <c r="P166" i="146"/>
  <c r="O166" i="146"/>
  <c r="N166" i="146"/>
  <c r="M166" i="146"/>
  <c r="L166" i="146"/>
  <c r="K166" i="146"/>
  <c r="J166" i="146"/>
  <c r="I166" i="146"/>
  <c r="H166" i="146"/>
  <c r="G166" i="146"/>
  <c r="F166" i="146"/>
  <c r="E166" i="146"/>
  <c r="P165" i="146"/>
  <c r="O165" i="146"/>
  <c r="N165" i="146"/>
  <c r="M165" i="146"/>
  <c r="L165" i="146"/>
  <c r="K165" i="146"/>
  <c r="J165" i="146"/>
  <c r="I165" i="146"/>
  <c r="H165" i="146"/>
  <c r="G165" i="146"/>
  <c r="F165" i="146"/>
  <c r="E165" i="146"/>
  <c r="P164" i="146"/>
  <c r="O164" i="146"/>
  <c r="N164" i="146"/>
  <c r="M164" i="146"/>
  <c r="L164" i="146"/>
  <c r="K164" i="146"/>
  <c r="J164" i="146"/>
  <c r="I164" i="146"/>
  <c r="H164" i="146"/>
  <c r="G164" i="146"/>
  <c r="F164" i="146"/>
  <c r="E164" i="146"/>
  <c r="P163" i="146"/>
  <c r="O163" i="146"/>
  <c r="N163" i="146"/>
  <c r="M163" i="146"/>
  <c r="L163" i="146"/>
  <c r="K163" i="146"/>
  <c r="J163" i="146"/>
  <c r="I163" i="146"/>
  <c r="H163" i="146"/>
  <c r="G163" i="146"/>
  <c r="F163" i="146"/>
  <c r="E163" i="146"/>
  <c r="P162" i="146"/>
  <c r="O162" i="146"/>
  <c r="N162" i="146"/>
  <c r="M162" i="146"/>
  <c r="L162" i="146"/>
  <c r="K162" i="146"/>
  <c r="J162" i="146"/>
  <c r="I162" i="146"/>
  <c r="H162" i="146"/>
  <c r="G162" i="146"/>
  <c r="F162" i="146"/>
  <c r="E162" i="146"/>
  <c r="P161" i="146"/>
  <c r="O161" i="146"/>
  <c r="N161" i="146"/>
  <c r="M161" i="146"/>
  <c r="M160" i="146" s="1"/>
  <c r="M159" i="146" s="1"/>
  <c r="L161" i="146"/>
  <c r="K161" i="146"/>
  <c r="J161" i="146"/>
  <c r="I161" i="146"/>
  <c r="H161" i="146"/>
  <c r="G161" i="146"/>
  <c r="F161" i="146"/>
  <c r="E161" i="146"/>
  <c r="P158" i="146"/>
  <c r="O158" i="146"/>
  <c r="N158" i="146"/>
  <c r="M158" i="146"/>
  <c r="L158" i="146"/>
  <c r="K158" i="146"/>
  <c r="J158" i="146"/>
  <c r="I158" i="146"/>
  <c r="H158" i="146"/>
  <c r="G158" i="146"/>
  <c r="F158" i="146"/>
  <c r="E158" i="146"/>
  <c r="P156" i="146"/>
  <c r="O156" i="146"/>
  <c r="N156" i="146"/>
  <c r="M156" i="146"/>
  <c r="L156" i="146"/>
  <c r="K156" i="146"/>
  <c r="J156" i="146"/>
  <c r="I156" i="146"/>
  <c r="H156" i="146"/>
  <c r="G156" i="146"/>
  <c r="F156" i="146"/>
  <c r="E156" i="146"/>
  <c r="P155" i="146"/>
  <c r="O155" i="146"/>
  <c r="N155" i="146"/>
  <c r="M155" i="146"/>
  <c r="L155" i="146"/>
  <c r="K155" i="146"/>
  <c r="J155" i="146"/>
  <c r="I155" i="146"/>
  <c r="H155" i="146"/>
  <c r="G155" i="146"/>
  <c r="F155" i="146"/>
  <c r="E155" i="146"/>
  <c r="P154" i="146"/>
  <c r="O154" i="146"/>
  <c r="N154" i="146"/>
  <c r="M154" i="146"/>
  <c r="L154" i="146"/>
  <c r="K154" i="146"/>
  <c r="J154" i="146"/>
  <c r="I154" i="146"/>
  <c r="H154" i="146"/>
  <c r="G154" i="146"/>
  <c r="F154" i="146"/>
  <c r="E154" i="146"/>
  <c r="P153" i="146"/>
  <c r="O153" i="146"/>
  <c r="N153" i="146"/>
  <c r="M153" i="146"/>
  <c r="L153" i="146"/>
  <c r="K153" i="146"/>
  <c r="J153" i="146"/>
  <c r="I153" i="146"/>
  <c r="H153" i="146"/>
  <c r="G153" i="146"/>
  <c r="F153" i="146"/>
  <c r="E153" i="146"/>
  <c r="P152" i="146"/>
  <c r="O152" i="146"/>
  <c r="N152" i="146"/>
  <c r="M152" i="146"/>
  <c r="L152" i="146"/>
  <c r="K152" i="146"/>
  <c r="J152" i="146"/>
  <c r="I152" i="146"/>
  <c r="H152" i="146"/>
  <c r="G152" i="146"/>
  <c r="F152" i="146"/>
  <c r="E152" i="146"/>
  <c r="P151" i="146"/>
  <c r="O151" i="146"/>
  <c r="N151" i="146"/>
  <c r="M151" i="146"/>
  <c r="L151" i="146"/>
  <c r="K151" i="146"/>
  <c r="J151" i="146"/>
  <c r="I151" i="146"/>
  <c r="H151" i="146"/>
  <c r="G151" i="146"/>
  <c r="F151" i="146"/>
  <c r="E151" i="146"/>
  <c r="P150" i="146"/>
  <c r="O150" i="146"/>
  <c r="N150" i="146"/>
  <c r="M150" i="146"/>
  <c r="L150" i="146"/>
  <c r="K150" i="146"/>
  <c r="J150" i="146"/>
  <c r="I150" i="146"/>
  <c r="H150" i="146"/>
  <c r="G150" i="146"/>
  <c r="F150" i="146"/>
  <c r="E150" i="146"/>
  <c r="P149" i="146"/>
  <c r="O149" i="146"/>
  <c r="N149" i="146"/>
  <c r="M149" i="146"/>
  <c r="L149" i="146"/>
  <c r="K149" i="146"/>
  <c r="J149" i="146"/>
  <c r="I149" i="146"/>
  <c r="H149" i="146"/>
  <c r="G149" i="146"/>
  <c r="F149" i="146"/>
  <c r="E149" i="146"/>
  <c r="P148" i="146"/>
  <c r="O148" i="146"/>
  <c r="N148" i="146"/>
  <c r="M148" i="146"/>
  <c r="L148" i="146"/>
  <c r="K148" i="146"/>
  <c r="J148" i="146"/>
  <c r="I148" i="146"/>
  <c r="H148" i="146"/>
  <c r="G148" i="146"/>
  <c r="F148" i="146"/>
  <c r="E148" i="146"/>
  <c r="P147" i="146"/>
  <c r="O147" i="146"/>
  <c r="N147" i="146"/>
  <c r="M147" i="146"/>
  <c r="L147" i="146"/>
  <c r="K147" i="146"/>
  <c r="J147" i="146"/>
  <c r="I147" i="146"/>
  <c r="H147" i="146"/>
  <c r="G147" i="146"/>
  <c r="F147" i="146"/>
  <c r="E147" i="146"/>
  <c r="P146" i="146"/>
  <c r="O146" i="146"/>
  <c r="N146" i="146"/>
  <c r="M146" i="146"/>
  <c r="L146" i="146"/>
  <c r="K146" i="146"/>
  <c r="J146" i="146"/>
  <c r="I146" i="146"/>
  <c r="H146" i="146"/>
  <c r="G146" i="146"/>
  <c r="F146" i="146"/>
  <c r="E146" i="146"/>
  <c r="P145" i="146"/>
  <c r="O145" i="146"/>
  <c r="N145" i="146"/>
  <c r="M145" i="146"/>
  <c r="L145" i="146"/>
  <c r="K145" i="146"/>
  <c r="J145" i="146"/>
  <c r="I145" i="146"/>
  <c r="H145" i="146"/>
  <c r="G145" i="146"/>
  <c r="F145" i="146"/>
  <c r="E145" i="146"/>
  <c r="P144" i="146"/>
  <c r="O144" i="146"/>
  <c r="N144" i="146"/>
  <c r="M144" i="146"/>
  <c r="L144" i="146"/>
  <c r="K144" i="146"/>
  <c r="J144" i="146"/>
  <c r="I144" i="146"/>
  <c r="H144" i="146"/>
  <c r="G144" i="146"/>
  <c r="F144" i="146"/>
  <c r="E144" i="146"/>
  <c r="P143" i="146"/>
  <c r="O143" i="146"/>
  <c r="N143" i="146"/>
  <c r="M143" i="146"/>
  <c r="L143" i="146"/>
  <c r="K143" i="146"/>
  <c r="J143" i="146"/>
  <c r="I143" i="146"/>
  <c r="H143" i="146"/>
  <c r="G143" i="146"/>
  <c r="F143" i="146"/>
  <c r="E143" i="146"/>
  <c r="P142" i="146"/>
  <c r="O142" i="146"/>
  <c r="N142" i="146"/>
  <c r="M142" i="146"/>
  <c r="L142" i="146"/>
  <c r="K142" i="146"/>
  <c r="J142" i="146"/>
  <c r="I142" i="146"/>
  <c r="H142" i="146"/>
  <c r="G142" i="146"/>
  <c r="F142" i="146"/>
  <c r="E142" i="146"/>
  <c r="P141" i="146"/>
  <c r="O141" i="146"/>
  <c r="N141" i="146"/>
  <c r="M141" i="146"/>
  <c r="L141" i="146"/>
  <c r="K141" i="146"/>
  <c r="J141" i="146"/>
  <c r="I141" i="146"/>
  <c r="H141" i="146"/>
  <c r="G141" i="146"/>
  <c r="F141" i="146"/>
  <c r="E141" i="146"/>
  <c r="P140" i="146"/>
  <c r="O140" i="146"/>
  <c r="N140" i="146"/>
  <c r="M140" i="146"/>
  <c r="L140" i="146"/>
  <c r="K140" i="146"/>
  <c r="J140" i="146"/>
  <c r="I140" i="146"/>
  <c r="H140" i="146"/>
  <c r="G140" i="146"/>
  <c r="F140" i="146"/>
  <c r="E140" i="146"/>
  <c r="P139" i="146"/>
  <c r="O139" i="146"/>
  <c r="N139" i="146"/>
  <c r="M139" i="146"/>
  <c r="M138" i="146" s="1"/>
  <c r="M137" i="146" s="1"/>
  <c r="L139" i="146"/>
  <c r="K139" i="146"/>
  <c r="J139" i="146"/>
  <c r="I139" i="146"/>
  <c r="H139" i="146"/>
  <c r="G139" i="146"/>
  <c r="F139" i="146"/>
  <c r="E139" i="146"/>
  <c r="E138" i="146" s="1"/>
  <c r="E137" i="146" s="1"/>
  <c r="P136" i="146"/>
  <c r="O136" i="146"/>
  <c r="N136" i="146"/>
  <c r="M136" i="146"/>
  <c r="L136" i="146"/>
  <c r="K136" i="146"/>
  <c r="J136" i="146"/>
  <c r="I136" i="146"/>
  <c r="H136" i="146"/>
  <c r="G136" i="146"/>
  <c r="F136" i="146"/>
  <c r="E136" i="146"/>
  <c r="P135" i="146"/>
  <c r="O135" i="146"/>
  <c r="N135" i="146"/>
  <c r="M135" i="146"/>
  <c r="L135" i="146"/>
  <c r="K135" i="146"/>
  <c r="J135" i="146"/>
  <c r="I135" i="146"/>
  <c r="H135" i="146"/>
  <c r="G135" i="146"/>
  <c r="F135" i="146"/>
  <c r="E135" i="146"/>
  <c r="P134" i="146"/>
  <c r="O134" i="146"/>
  <c r="N134" i="146"/>
  <c r="M134" i="146"/>
  <c r="L134" i="146"/>
  <c r="K134" i="146"/>
  <c r="J134" i="146"/>
  <c r="I134" i="146"/>
  <c r="H134" i="146"/>
  <c r="G134" i="146"/>
  <c r="F134" i="146"/>
  <c r="E134" i="146"/>
  <c r="P133" i="146"/>
  <c r="O133" i="146"/>
  <c r="N133" i="146"/>
  <c r="M133" i="146"/>
  <c r="L133" i="146"/>
  <c r="K133" i="146"/>
  <c r="J133" i="146"/>
  <c r="I133" i="146"/>
  <c r="H133" i="146"/>
  <c r="G133" i="146"/>
  <c r="F133" i="146"/>
  <c r="E133" i="146"/>
  <c r="P132" i="146"/>
  <c r="O132" i="146"/>
  <c r="N132" i="146"/>
  <c r="M132" i="146"/>
  <c r="L132" i="146"/>
  <c r="K132" i="146"/>
  <c r="J132" i="146"/>
  <c r="I132" i="146"/>
  <c r="H132" i="146"/>
  <c r="G132" i="146"/>
  <c r="F132" i="146"/>
  <c r="E132" i="146"/>
  <c r="P131" i="146"/>
  <c r="O131" i="146"/>
  <c r="N131" i="146"/>
  <c r="M131" i="146"/>
  <c r="L131" i="146"/>
  <c r="K131" i="146"/>
  <c r="J131" i="146"/>
  <c r="I131" i="146"/>
  <c r="H131" i="146"/>
  <c r="G131" i="146"/>
  <c r="F131" i="146"/>
  <c r="E131" i="146"/>
  <c r="P130" i="146"/>
  <c r="O130" i="146"/>
  <c r="N130" i="146"/>
  <c r="M130" i="146"/>
  <c r="L130" i="146"/>
  <c r="K130" i="146"/>
  <c r="J130" i="146"/>
  <c r="I130" i="146"/>
  <c r="H130" i="146"/>
  <c r="G130" i="146"/>
  <c r="F130" i="146"/>
  <c r="E130" i="146"/>
  <c r="P129" i="146"/>
  <c r="O129" i="146"/>
  <c r="N129" i="146"/>
  <c r="M129" i="146"/>
  <c r="L129" i="146"/>
  <c r="K129" i="146"/>
  <c r="J129" i="146"/>
  <c r="I129" i="146"/>
  <c r="H129" i="146"/>
  <c r="G129" i="146"/>
  <c r="F129" i="146"/>
  <c r="E129" i="146"/>
  <c r="P128" i="146"/>
  <c r="O128" i="146"/>
  <c r="N128" i="146"/>
  <c r="M128" i="146"/>
  <c r="L128" i="146"/>
  <c r="K128" i="146"/>
  <c r="J128" i="146"/>
  <c r="I128" i="146"/>
  <c r="H128" i="146"/>
  <c r="G128" i="146"/>
  <c r="F128" i="146"/>
  <c r="E128" i="146"/>
  <c r="P127" i="146"/>
  <c r="O127" i="146"/>
  <c r="N127" i="146"/>
  <c r="M127" i="146"/>
  <c r="L127" i="146"/>
  <c r="K127" i="146"/>
  <c r="J127" i="146"/>
  <c r="I127" i="146"/>
  <c r="H127" i="146"/>
  <c r="G127" i="146"/>
  <c r="F127" i="146"/>
  <c r="E127" i="146"/>
  <c r="P126" i="146"/>
  <c r="O126" i="146"/>
  <c r="N126" i="146"/>
  <c r="M126" i="146"/>
  <c r="L126" i="146"/>
  <c r="K126" i="146"/>
  <c r="J126" i="146"/>
  <c r="I126" i="146"/>
  <c r="H126" i="146"/>
  <c r="G126" i="146"/>
  <c r="F126" i="146"/>
  <c r="E126" i="146"/>
  <c r="P125" i="146"/>
  <c r="O125" i="146"/>
  <c r="N125" i="146"/>
  <c r="M125" i="146"/>
  <c r="L125" i="146"/>
  <c r="K125" i="146"/>
  <c r="J125" i="146"/>
  <c r="I125" i="146"/>
  <c r="H125" i="146"/>
  <c r="G125" i="146"/>
  <c r="F125" i="146"/>
  <c r="E125" i="146"/>
  <c r="P124" i="146"/>
  <c r="O124" i="146"/>
  <c r="N124" i="146"/>
  <c r="M124" i="146"/>
  <c r="L124" i="146"/>
  <c r="K124" i="146"/>
  <c r="J124" i="146"/>
  <c r="I124" i="146"/>
  <c r="H124" i="146"/>
  <c r="G124" i="146"/>
  <c r="F124" i="146"/>
  <c r="E124" i="146"/>
  <c r="P123" i="146"/>
  <c r="O123" i="146"/>
  <c r="N123" i="146"/>
  <c r="M123" i="146"/>
  <c r="L123" i="146"/>
  <c r="K123" i="146"/>
  <c r="J123" i="146"/>
  <c r="I123" i="146"/>
  <c r="I122" i="146" s="1"/>
  <c r="I121" i="146" s="1"/>
  <c r="H123" i="146"/>
  <c r="G123" i="146"/>
  <c r="F123" i="146"/>
  <c r="E123" i="146"/>
  <c r="P120" i="146"/>
  <c r="O120" i="146"/>
  <c r="N120" i="146"/>
  <c r="M120" i="146"/>
  <c r="L120" i="146"/>
  <c r="K120" i="146"/>
  <c r="J120" i="146"/>
  <c r="I120" i="146"/>
  <c r="H120" i="146"/>
  <c r="G120" i="146"/>
  <c r="F120" i="146"/>
  <c r="E120" i="146"/>
  <c r="P119" i="146"/>
  <c r="O119" i="146"/>
  <c r="N119" i="146"/>
  <c r="M119" i="146"/>
  <c r="L119" i="146"/>
  <c r="K119" i="146"/>
  <c r="J119" i="146"/>
  <c r="I119" i="146"/>
  <c r="H119" i="146"/>
  <c r="G119" i="146"/>
  <c r="F119" i="146"/>
  <c r="E119" i="146"/>
  <c r="P118" i="146"/>
  <c r="O118" i="146"/>
  <c r="N118" i="146"/>
  <c r="M118" i="146"/>
  <c r="L118" i="146"/>
  <c r="K118" i="146"/>
  <c r="J118" i="146"/>
  <c r="I118" i="146"/>
  <c r="H118" i="146"/>
  <c r="G118" i="146"/>
  <c r="F118" i="146"/>
  <c r="E118" i="146"/>
  <c r="P117" i="146"/>
  <c r="O117" i="146"/>
  <c r="N117" i="146"/>
  <c r="M117" i="146"/>
  <c r="L117" i="146"/>
  <c r="K117" i="146"/>
  <c r="J117" i="146"/>
  <c r="I117" i="146"/>
  <c r="H117" i="146"/>
  <c r="G117" i="146"/>
  <c r="F117" i="146"/>
  <c r="E117" i="146"/>
  <c r="P116" i="146"/>
  <c r="O116" i="146"/>
  <c r="N116" i="146"/>
  <c r="M116" i="146"/>
  <c r="L116" i="146"/>
  <c r="K116" i="146"/>
  <c r="J116" i="146"/>
  <c r="I116" i="146"/>
  <c r="H116" i="146"/>
  <c r="G116" i="146"/>
  <c r="F116" i="146"/>
  <c r="E116" i="146"/>
  <c r="P115" i="146"/>
  <c r="O115" i="146"/>
  <c r="N115" i="146"/>
  <c r="M115" i="146"/>
  <c r="L115" i="146"/>
  <c r="K115" i="146"/>
  <c r="J115" i="146"/>
  <c r="I115" i="146"/>
  <c r="H115" i="146"/>
  <c r="G115" i="146"/>
  <c r="F115" i="146"/>
  <c r="E115" i="146"/>
  <c r="P114" i="146"/>
  <c r="O114" i="146"/>
  <c r="N114" i="146"/>
  <c r="N112" i="146" s="1"/>
  <c r="N111" i="146" s="1"/>
  <c r="M114" i="146"/>
  <c r="L114" i="146"/>
  <c r="K114" i="146"/>
  <c r="J114" i="146"/>
  <c r="I114" i="146"/>
  <c r="H114" i="146"/>
  <c r="G114" i="146"/>
  <c r="F114" i="146"/>
  <c r="F112" i="146" s="1"/>
  <c r="E112" i="146" s="1"/>
  <c r="E114" i="146"/>
  <c r="P113" i="146"/>
  <c r="O113" i="146"/>
  <c r="N113" i="146"/>
  <c r="M113" i="146"/>
  <c r="M112" i="146" s="1"/>
  <c r="M111" i="146" s="1"/>
  <c r="L113" i="146"/>
  <c r="K113" i="146"/>
  <c r="J113" i="146"/>
  <c r="I113" i="146"/>
  <c r="I112" i="146" s="1"/>
  <c r="I111" i="146" s="1"/>
  <c r="H113" i="146"/>
  <c r="G113" i="146"/>
  <c r="F113" i="146"/>
  <c r="E113" i="146"/>
  <c r="E98" i="146"/>
  <c r="P109" i="146"/>
  <c r="O109" i="146"/>
  <c r="N109" i="146"/>
  <c r="M109" i="146"/>
  <c r="L109" i="146"/>
  <c r="K109" i="146"/>
  <c r="J109" i="146"/>
  <c r="I109" i="146"/>
  <c r="H109" i="146"/>
  <c r="G109" i="146"/>
  <c r="F109" i="146"/>
  <c r="P108" i="146"/>
  <c r="O108" i="146"/>
  <c r="N108" i="146"/>
  <c r="M108" i="146"/>
  <c r="L108" i="146"/>
  <c r="K108" i="146"/>
  <c r="J108" i="146"/>
  <c r="I108" i="146"/>
  <c r="H108" i="146"/>
  <c r="G108" i="146"/>
  <c r="F108" i="146"/>
  <c r="P107" i="146"/>
  <c r="O107" i="146"/>
  <c r="N107" i="146"/>
  <c r="M107" i="146"/>
  <c r="L107" i="146"/>
  <c r="K107" i="146"/>
  <c r="J107" i="146"/>
  <c r="I107" i="146"/>
  <c r="H107" i="146"/>
  <c r="G107" i="146"/>
  <c r="F107" i="146"/>
  <c r="P106" i="146"/>
  <c r="O106" i="146"/>
  <c r="N106" i="146"/>
  <c r="M106" i="146"/>
  <c r="L106" i="146"/>
  <c r="K106" i="146"/>
  <c r="J106" i="146"/>
  <c r="I106" i="146"/>
  <c r="H106" i="146"/>
  <c r="G106" i="146"/>
  <c r="F106" i="146"/>
  <c r="P105" i="146"/>
  <c r="O105" i="146"/>
  <c r="N105" i="146"/>
  <c r="M105" i="146"/>
  <c r="L105" i="146"/>
  <c r="K105" i="146"/>
  <c r="J105" i="146"/>
  <c r="I105" i="146"/>
  <c r="H105" i="146"/>
  <c r="G105" i="146"/>
  <c r="F105" i="146"/>
  <c r="P104" i="146"/>
  <c r="O104" i="146"/>
  <c r="N104" i="146"/>
  <c r="M104" i="146"/>
  <c r="L104" i="146"/>
  <c r="K104" i="146"/>
  <c r="J104" i="146"/>
  <c r="I104" i="146"/>
  <c r="H104" i="146"/>
  <c r="G104" i="146"/>
  <c r="F104" i="146"/>
  <c r="P103" i="146"/>
  <c r="O103" i="146"/>
  <c r="N103" i="146"/>
  <c r="M103" i="146"/>
  <c r="L103" i="146"/>
  <c r="K103" i="146"/>
  <c r="J103" i="146"/>
  <c r="I103" i="146"/>
  <c r="H103" i="146"/>
  <c r="G103" i="146"/>
  <c r="F103" i="146"/>
  <c r="P102" i="146"/>
  <c r="O102" i="146"/>
  <c r="N102" i="146"/>
  <c r="M102" i="146"/>
  <c r="L102" i="146"/>
  <c r="K102" i="146"/>
  <c r="J102" i="146"/>
  <c r="I102" i="146"/>
  <c r="H102" i="146"/>
  <c r="G102" i="146"/>
  <c r="F102" i="146"/>
  <c r="P101" i="146"/>
  <c r="O101" i="146"/>
  <c r="N101" i="146"/>
  <c r="M101" i="146"/>
  <c r="L101" i="146"/>
  <c r="K101" i="146"/>
  <c r="J101" i="146"/>
  <c r="I101" i="146"/>
  <c r="H101" i="146"/>
  <c r="G101" i="146"/>
  <c r="F101" i="146"/>
  <c r="P100" i="146"/>
  <c r="O100" i="146"/>
  <c r="N100" i="146"/>
  <c r="M100" i="146"/>
  <c r="L100" i="146"/>
  <c r="K100" i="146"/>
  <c r="J100" i="146"/>
  <c r="I100" i="146"/>
  <c r="H100" i="146"/>
  <c r="G100" i="146"/>
  <c r="F100" i="146"/>
  <c r="P99" i="146"/>
  <c r="O99" i="146"/>
  <c r="N99" i="146"/>
  <c r="M99" i="146"/>
  <c r="L99" i="146"/>
  <c r="K99" i="146"/>
  <c r="J99" i="146"/>
  <c r="I99" i="146"/>
  <c r="H99" i="146"/>
  <c r="G99" i="146"/>
  <c r="F99" i="146"/>
  <c r="P98" i="146"/>
  <c r="O98" i="146"/>
  <c r="N98" i="146"/>
  <c r="M98" i="146"/>
  <c r="L98" i="146"/>
  <c r="K98" i="146"/>
  <c r="J98" i="146"/>
  <c r="I98" i="146"/>
  <c r="H98" i="146"/>
  <c r="G98" i="146"/>
  <c r="F98" i="146"/>
  <c r="P97" i="146"/>
  <c r="O97" i="146"/>
  <c r="N97" i="146"/>
  <c r="M97" i="146"/>
  <c r="L97" i="146"/>
  <c r="K97" i="146"/>
  <c r="J97" i="146"/>
  <c r="I97" i="146"/>
  <c r="H97" i="146"/>
  <c r="G97" i="146"/>
  <c r="F97" i="146"/>
  <c r="P96" i="146"/>
  <c r="O96" i="146"/>
  <c r="N96" i="146"/>
  <c r="M96" i="146"/>
  <c r="L96" i="146"/>
  <c r="K96" i="146"/>
  <c r="J96" i="146"/>
  <c r="I96" i="146"/>
  <c r="H96" i="146"/>
  <c r="G96" i="146"/>
  <c r="F96" i="146"/>
  <c r="P95" i="146"/>
  <c r="O95" i="146"/>
  <c r="N95" i="146"/>
  <c r="M95" i="146"/>
  <c r="L95" i="146"/>
  <c r="K95" i="146"/>
  <c r="J95" i="146"/>
  <c r="I95" i="146"/>
  <c r="H95" i="146"/>
  <c r="G95" i="146"/>
  <c r="F95" i="146"/>
  <c r="P94" i="146"/>
  <c r="O94" i="146"/>
  <c r="N94" i="146"/>
  <c r="M94" i="146"/>
  <c r="L94" i="146"/>
  <c r="K94" i="146"/>
  <c r="J94" i="146"/>
  <c r="I94" i="146"/>
  <c r="H94" i="146"/>
  <c r="G94" i="146"/>
  <c r="F94" i="146"/>
  <c r="P91" i="146"/>
  <c r="O91" i="146"/>
  <c r="N91" i="146"/>
  <c r="M91" i="146"/>
  <c r="L91" i="146"/>
  <c r="K91" i="146"/>
  <c r="J91" i="146"/>
  <c r="I91" i="146"/>
  <c r="H91" i="146"/>
  <c r="G91" i="146"/>
  <c r="F91" i="146"/>
  <c r="P90" i="146"/>
  <c r="O90" i="146"/>
  <c r="N90" i="146"/>
  <c r="M90" i="146"/>
  <c r="L90" i="146"/>
  <c r="K90" i="146"/>
  <c r="J90" i="146"/>
  <c r="I90" i="146"/>
  <c r="H90" i="146"/>
  <c r="G90" i="146"/>
  <c r="F90" i="146"/>
  <c r="P89" i="146"/>
  <c r="O89" i="146"/>
  <c r="N89" i="146"/>
  <c r="M89" i="146"/>
  <c r="L89" i="146"/>
  <c r="K89" i="146"/>
  <c r="J89" i="146"/>
  <c r="I89" i="146"/>
  <c r="H89" i="146"/>
  <c r="G89" i="146"/>
  <c r="F89" i="146"/>
  <c r="P88" i="146"/>
  <c r="O88" i="146"/>
  <c r="N88" i="146"/>
  <c r="M88" i="146"/>
  <c r="L88" i="146"/>
  <c r="K88" i="146"/>
  <c r="J88" i="146"/>
  <c r="I88" i="146"/>
  <c r="H88" i="146"/>
  <c r="G88" i="146"/>
  <c r="F88" i="146"/>
  <c r="P87" i="146"/>
  <c r="O87" i="146"/>
  <c r="N87" i="146"/>
  <c r="M87" i="146"/>
  <c r="L87" i="146"/>
  <c r="K87" i="146"/>
  <c r="J87" i="146"/>
  <c r="I87" i="146"/>
  <c r="H87" i="146"/>
  <c r="G87" i="146"/>
  <c r="F87" i="146"/>
  <c r="P86" i="146"/>
  <c r="O86" i="146"/>
  <c r="N86" i="146"/>
  <c r="M86" i="146"/>
  <c r="L86" i="146"/>
  <c r="K86" i="146"/>
  <c r="J86" i="146"/>
  <c r="I86" i="146"/>
  <c r="H86" i="146"/>
  <c r="G86" i="146"/>
  <c r="F86" i="146"/>
  <c r="P85" i="146"/>
  <c r="O85" i="146"/>
  <c r="N85" i="146"/>
  <c r="M85" i="146"/>
  <c r="L85" i="146"/>
  <c r="K85" i="146"/>
  <c r="J85" i="146"/>
  <c r="I85" i="146"/>
  <c r="H85" i="146"/>
  <c r="G85" i="146"/>
  <c r="F85" i="146"/>
  <c r="P84" i="146"/>
  <c r="O84" i="146"/>
  <c r="N84" i="146"/>
  <c r="M84" i="146"/>
  <c r="L84" i="146"/>
  <c r="K84" i="146"/>
  <c r="J84" i="146"/>
  <c r="I84" i="146"/>
  <c r="H84" i="146"/>
  <c r="G84" i="146"/>
  <c r="F84" i="146"/>
  <c r="P83" i="146"/>
  <c r="O83" i="146"/>
  <c r="N83" i="146"/>
  <c r="M83" i="146"/>
  <c r="L83" i="146"/>
  <c r="K83" i="146"/>
  <c r="J83" i="146"/>
  <c r="I83" i="146"/>
  <c r="H83" i="146"/>
  <c r="G83" i="146"/>
  <c r="F83" i="146"/>
  <c r="P82" i="146"/>
  <c r="O82" i="146"/>
  <c r="N82" i="146"/>
  <c r="M82" i="146"/>
  <c r="L82" i="146"/>
  <c r="K82" i="146"/>
  <c r="J82" i="146"/>
  <c r="I82" i="146"/>
  <c r="H82" i="146"/>
  <c r="G82" i="146"/>
  <c r="F82" i="146"/>
  <c r="P81" i="146"/>
  <c r="O81" i="146"/>
  <c r="N81" i="146"/>
  <c r="M81" i="146"/>
  <c r="L81" i="146"/>
  <c r="K81" i="146"/>
  <c r="J81" i="146"/>
  <c r="I81" i="146"/>
  <c r="H81" i="146"/>
  <c r="G81" i="146"/>
  <c r="F81" i="146"/>
  <c r="P79" i="146"/>
  <c r="O79" i="146"/>
  <c r="N79" i="146"/>
  <c r="M79" i="146"/>
  <c r="L79" i="146"/>
  <c r="K79" i="146"/>
  <c r="J79" i="146"/>
  <c r="I79" i="146"/>
  <c r="H79" i="146"/>
  <c r="G79" i="146"/>
  <c r="F79" i="146"/>
  <c r="P78" i="146"/>
  <c r="O78" i="146"/>
  <c r="N78" i="146"/>
  <c r="M78" i="146"/>
  <c r="L78" i="146"/>
  <c r="K78" i="146"/>
  <c r="J78" i="146"/>
  <c r="I78" i="146"/>
  <c r="H78" i="146"/>
  <c r="G78" i="146"/>
  <c r="F78" i="146"/>
  <c r="P77" i="146"/>
  <c r="O77" i="146"/>
  <c r="N77" i="146"/>
  <c r="M77" i="146"/>
  <c r="L77" i="146"/>
  <c r="K77" i="146"/>
  <c r="J77" i="146"/>
  <c r="I77" i="146"/>
  <c r="H77" i="146"/>
  <c r="G77" i="146"/>
  <c r="F77" i="146"/>
  <c r="P76" i="146"/>
  <c r="O76" i="146"/>
  <c r="N76" i="146"/>
  <c r="M76" i="146"/>
  <c r="L76" i="146"/>
  <c r="K76" i="146"/>
  <c r="J76" i="146"/>
  <c r="I76" i="146"/>
  <c r="H76" i="146"/>
  <c r="G76" i="146"/>
  <c r="F76" i="146"/>
  <c r="P75" i="146"/>
  <c r="O75" i="146"/>
  <c r="N75" i="146"/>
  <c r="M75" i="146"/>
  <c r="L75" i="146"/>
  <c r="K75" i="146"/>
  <c r="J75" i="146"/>
  <c r="I75" i="146"/>
  <c r="H75" i="146"/>
  <c r="G75" i="146"/>
  <c r="F75" i="146"/>
  <c r="P74" i="146"/>
  <c r="O74" i="146"/>
  <c r="N74" i="146"/>
  <c r="M74" i="146"/>
  <c r="L74" i="146"/>
  <c r="K74" i="146"/>
  <c r="J74" i="146"/>
  <c r="I74" i="146"/>
  <c r="H74" i="146"/>
  <c r="G74" i="146"/>
  <c r="F74" i="146"/>
  <c r="P73" i="146"/>
  <c r="O73" i="146"/>
  <c r="N73" i="146"/>
  <c r="M73" i="146"/>
  <c r="L73" i="146"/>
  <c r="K73" i="146"/>
  <c r="J73" i="146"/>
  <c r="I73" i="146"/>
  <c r="H73" i="146"/>
  <c r="G73" i="146"/>
  <c r="F73" i="146"/>
  <c r="P72" i="146"/>
  <c r="O72" i="146"/>
  <c r="N72" i="146"/>
  <c r="M72" i="146"/>
  <c r="L72" i="146"/>
  <c r="K72" i="146"/>
  <c r="J72" i="146"/>
  <c r="I72" i="146"/>
  <c r="H72" i="146"/>
  <c r="G72" i="146"/>
  <c r="F72" i="146"/>
  <c r="P71" i="146"/>
  <c r="O71" i="146"/>
  <c r="N71" i="146"/>
  <c r="M71" i="146"/>
  <c r="L71" i="146"/>
  <c r="K71" i="146"/>
  <c r="J71" i="146"/>
  <c r="I71" i="146"/>
  <c r="H71" i="146"/>
  <c r="G71" i="146"/>
  <c r="F71" i="146"/>
  <c r="P70" i="146"/>
  <c r="O70" i="146"/>
  <c r="N70" i="146"/>
  <c r="M70" i="146"/>
  <c r="L70" i="146"/>
  <c r="K70" i="146"/>
  <c r="J70" i="146"/>
  <c r="I70" i="146"/>
  <c r="H70" i="146"/>
  <c r="G70" i="146"/>
  <c r="F70" i="146"/>
  <c r="P69" i="146"/>
  <c r="O69" i="146"/>
  <c r="N69" i="146"/>
  <c r="M69" i="146"/>
  <c r="L69" i="146"/>
  <c r="K69" i="146"/>
  <c r="J69" i="146"/>
  <c r="I69" i="146"/>
  <c r="H69" i="146"/>
  <c r="G69" i="146"/>
  <c r="F69" i="146"/>
  <c r="P68" i="146"/>
  <c r="O68" i="146"/>
  <c r="N68" i="146"/>
  <c r="M68" i="146"/>
  <c r="L68" i="146"/>
  <c r="K68" i="146"/>
  <c r="J68" i="146"/>
  <c r="I68" i="146"/>
  <c r="H68" i="146"/>
  <c r="G68" i="146"/>
  <c r="F68" i="146"/>
  <c r="P67" i="146"/>
  <c r="O67" i="146"/>
  <c r="N67" i="146"/>
  <c r="M67" i="146"/>
  <c r="L67" i="146"/>
  <c r="K67" i="146"/>
  <c r="J67" i="146"/>
  <c r="I67" i="146"/>
  <c r="H67" i="146"/>
  <c r="G67" i="146"/>
  <c r="F67" i="146"/>
  <c r="P66" i="146"/>
  <c r="O66" i="146"/>
  <c r="N66" i="146"/>
  <c r="M66" i="146"/>
  <c r="L66" i="146"/>
  <c r="K66" i="146"/>
  <c r="J66" i="146"/>
  <c r="I66" i="146"/>
  <c r="H66" i="146"/>
  <c r="G66" i="146"/>
  <c r="F66" i="146"/>
  <c r="P65" i="146"/>
  <c r="O65" i="146"/>
  <c r="N65" i="146"/>
  <c r="M65" i="146"/>
  <c r="L65" i="146"/>
  <c r="K65" i="146"/>
  <c r="J65" i="146"/>
  <c r="I65" i="146"/>
  <c r="H65" i="146"/>
  <c r="G65" i="146"/>
  <c r="F65" i="146"/>
  <c r="P64" i="146"/>
  <c r="O64" i="146"/>
  <c r="N64" i="146"/>
  <c r="M64" i="146"/>
  <c r="L64" i="146"/>
  <c r="K64" i="146"/>
  <c r="J64" i="146"/>
  <c r="I64" i="146"/>
  <c r="H64" i="146"/>
  <c r="G64" i="146"/>
  <c r="F64" i="146"/>
  <c r="P63" i="146"/>
  <c r="O63" i="146"/>
  <c r="N63" i="146"/>
  <c r="M63" i="146"/>
  <c r="L63" i="146"/>
  <c r="K63" i="146"/>
  <c r="J63" i="146"/>
  <c r="I63" i="146"/>
  <c r="H63" i="146"/>
  <c r="G63" i="146"/>
  <c r="F63" i="146"/>
  <c r="P62" i="146"/>
  <c r="O62" i="146"/>
  <c r="N62" i="146"/>
  <c r="M62" i="146"/>
  <c r="L62" i="146"/>
  <c r="K62" i="146"/>
  <c r="J62" i="146"/>
  <c r="I62" i="146"/>
  <c r="H62" i="146"/>
  <c r="G62" i="146"/>
  <c r="F62" i="146"/>
  <c r="P61" i="146"/>
  <c r="O61" i="146"/>
  <c r="N61" i="146"/>
  <c r="M61" i="146"/>
  <c r="L61" i="146"/>
  <c r="K61" i="146"/>
  <c r="J61" i="146"/>
  <c r="I61" i="146"/>
  <c r="H61" i="146"/>
  <c r="G61" i="146"/>
  <c r="F61" i="146"/>
  <c r="P60" i="146"/>
  <c r="O60" i="146"/>
  <c r="N60" i="146"/>
  <c r="M60" i="146"/>
  <c r="L60" i="146"/>
  <c r="K60" i="146"/>
  <c r="J60" i="146"/>
  <c r="I60" i="146"/>
  <c r="H60" i="146"/>
  <c r="G60" i="146"/>
  <c r="F60" i="146"/>
  <c r="P59" i="146"/>
  <c r="O59" i="146"/>
  <c r="N59" i="146"/>
  <c r="M59" i="146"/>
  <c r="L59" i="146"/>
  <c r="K59" i="146"/>
  <c r="J59" i="146"/>
  <c r="I59" i="146"/>
  <c r="H59" i="146"/>
  <c r="G59" i="146"/>
  <c r="F59" i="146"/>
  <c r="P58" i="146"/>
  <c r="O58" i="146"/>
  <c r="N58" i="146"/>
  <c r="M58" i="146"/>
  <c r="L58" i="146"/>
  <c r="K58" i="146"/>
  <c r="J58" i="146"/>
  <c r="I58" i="146"/>
  <c r="H58" i="146"/>
  <c r="G58" i="146"/>
  <c r="F58" i="146"/>
  <c r="P57" i="146"/>
  <c r="O57" i="146"/>
  <c r="N57" i="146"/>
  <c r="M57" i="146"/>
  <c r="L57" i="146"/>
  <c r="L54" i="146" s="1"/>
  <c r="K57" i="146"/>
  <c r="J57" i="146"/>
  <c r="I57" i="146"/>
  <c r="H57" i="146"/>
  <c r="H54" i="146" s="1"/>
  <c r="H53" i="146" s="1"/>
  <c r="G57" i="146"/>
  <c r="F57" i="146"/>
  <c r="P56" i="146"/>
  <c r="O56" i="146"/>
  <c r="O54" i="146" s="1"/>
  <c r="O53" i="146" s="1"/>
  <c r="N56" i="146"/>
  <c r="M56" i="146"/>
  <c r="L56" i="146"/>
  <c r="K56" i="146"/>
  <c r="K54" i="146" s="1"/>
  <c r="K53" i="146" s="1"/>
  <c r="J56" i="146"/>
  <c r="I56" i="146"/>
  <c r="H56" i="146"/>
  <c r="G56" i="146"/>
  <c r="G54" i="146" s="1"/>
  <c r="G53" i="146" s="1"/>
  <c r="F56" i="146"/>
  <c r="P55" i="146"/>
  <c r="O55" i="146"/>
  <c r="N55" i="146"/>
  <c r="N54" i="146" s="1"/>
  <c r="N53" i="146" s="1"/>
  <c r="M55" i="146"/>
  <c r="L55" i="146"/>
  <c r="K55" i="146"/>
  <c r="J55" i="146"/>
  <c r="I55" i="146"/>
  <c r="H55" i="146"/>
  <c r="G55" i="146"/>
  <c r="F55" i="146"/>
  <c r="F54" i="146" s="1"/>
  <c r="F53" i="146" s="1"/>
  <c r="E109" i="146"/>
  <c r="E108" i="146"/>
  <c r="E107" i="146"/>
  <c r="E106" i="146"/>
  <c r="E105" i="146"/>
  <c r="E104" i="146"/>
  <c r="E101" i="146"/>
  <c r="E94" i="146"/>
  <c r="E91" i="146"/>
  <c r="E90" i="146"/>
  <c r="E89" i="146"/>
  <c r="E88" i="146"/>
  <c r="E87" i="146"/>
  <c r="E86" i="146"/>
  <c r="E85" i="146"/>
  <c r="E84" i="146"/>
  <c r="E83" i="146"/>
  <c r="E82" i="146"/>
  <c r="E81" i="146"/>
  <c r="E79" i="146"/>
  <c r="E78" i="146"/>
  <c r="E77" i="146"/>
  <c r="E76" i="146"/>
  <c r="E75" i="146"/>
  <c r="E74" i="146"/>
  <c r="E73" i="146"/>
  <c r="E72" i="146"/>
  <c r="E71" i="146"/>
  <c r="E70" i="146"/>
  <c r="E69" i="146"/>
  <c r="E68" i="146"/>
  <c r="E67" i="146"/>
  <c r="E66" i="146"/>
  <c r="E65" i="146"/>
  <c r="E64" i="146"/>
  <c r="E63" i="146"/>
  <c r="E62" i="146"/>
  <c r="E61" i="146"/>
  <c r="E60" i="146"/>
  <c r="E59" i="146"/>
  <c r="E58" i="146"/>
  <c r="E57" i="146"/>
  <c r="E56" i="146"/>
  <c r="E55" i="146"/>
  <c r="P52" i="146"/>
  <c r="O52" i="146"/>
  <c r="N52" i="146"/>
  <c r="M52" i="146"/>
  <c r="L52" i="146"/>
  <c r="K52" i="146"/>
  <c r="J52" i="146"/>
  <c r="I52" i="146"/>
  <c r="H52" i="146"/>
  <c r="G52" i="146"/>
  <c r="F52" i="146"/>
  <c r="P51" i="146"/>
  <c r="O51" i="146"/>
  <c r="N51" i="146"/>
  <c r="M51" i="146"/>
  <c r="L51" i="146"/>
  <c r="K51" i="146"/>
  <c r="J51" i="146"/>
  <c r="I51" i="146"/>
  <c r="H51" i="146"/>
  <c r="G51" i="146"/>
  <c r="F51" i="146"/>
  <c r="P50" i="146"/>
  <c r="O50" i="146"/>
  <c r="N50" i="146"/>
  <c r="M50" i="146"/>
  <c r="L50" i="146"/>
  <c r="K50" i="146"/>
  <c r="J50" i="146"/>
  <c r="I50" i="146"/>
  <c r="H50" i="146"/>
  <c r="G50" i="146"/>
  <c r="F50" i="146"/>
  <c r="P49" i="146"/>
  <c r="O49" i="146"/>
  <c r="N49" i="146"/>
  <c r="M49" i="146"/>
  <c r="L49" i="146"/>
  <c r="K49" i="146"/>
  <c r="J49" i="146"/>
  <c r="I49" i="146"/>
  <c r="H49" i="146"/>
  <c r="G49" i="146"/>
  <c r="F49" i="146"/>
  <c r="P48" i="146"/>
  <c r="O48" i="146"/>
  <c r="N48" i="146"/>
  <c r="M48" i="146"/>
  <c r="L48" i="146"/>
  <c r="K48" i="146"/>
  <c r="J48" i="146"/>
  <c r="I48" i="146"/>
  <c r="H48" i="146"/>
  <c r="G48" i="146"/>
  <c r="F48" i="146"/>
  <c r="P47" i="146"/>
  <c r="O47" i="146"/>
  <c r="N47" i="146"/>
  <c r="M47" i="146"/>
  <c r="L47" i="146"/>
  <c r="K47" i="146"/>
  <c r="J47" i="146"/>
  <c r="I47" i="146"/>
  <c r="H47" i="146"/>
  <c r="G47" i="146"/>
  <c r="F47" i="146"/>
  <c r="P46" i="146"/>
  <c r="O46" i="146"/>
  <c r="N46" i="146"/>
  <c r="M46" i="146"/>
  <c r="L46" i="146"/>
  <c r="K46" i="146"/>
  <c r="J46" i="146"/>
  <c r="I46" i="146"/>
  <c r="H46" i="146"/>
  <c r="G46" i="146"/>
  <c r="F46" i="146"/>
  <c r="P45" i="146"/>
  <c r="O45" i="146"/>
  <c r="N45" i="146"/>
  <c r="M45" i="146"/>
  <c r="L45" i="146"/>
  <c r="K45" i="146"/>
  <c r="J45" i="146"/>
  <c r="I45" i="146"/>
  <c r="H45" i="146"/>
  <c r="G45" i="146"/>
  <c r="F45" i="146"/>
  <c r="P44" i="146"/>
  <c r="O44" i="146"/>
  <c r="N44" i="146"/>
  <c r="M44" i="146"/>
  <c r="L44" i="146"/>
  <c r="K44" i="146"/>
  <c r="J44" i="146"/>
  <c r="I44" i="146"/>
  <c r="H44" i="146"/>
  <c r="G44" i="146"/>
  <c r="F44" i="146"/>
  <c r="P43" i="146"/>
  <c r="O43" i="146"/>
  <c r="N43" i="146"/>
  <c r="M43" i="146"/>
  <c r="L43" i="146"/>
  <c r="K43" i="146"/>
  <c r="J43" i="146"/>
  <c r="I43" i="146"/>
  <c r="H43" i="146"/>
  <c r="G43" i="146"/>
  <c r="F43" i="146"/>
  <c r="P42" i="146"/>
  <c r="O42" i="146"/>
  <c r="N42" i="146"/>
  <c r="M42" i="146"/>
  <c r="L42" i="146"/>
  <c r="K42" i="146"/>
  <c r="J42" i="146"/>
  <c r="I42" i="146"/>
  <c r="H42" i="146"/>
  <c r="G42" i="146"/>
  <c r="F42" i="146"/>
  <c r="P41" i="146"/>
  <c r="O41" i="146"/>
  <c r="N41" i="146"/>
  <c r="N40" i="146" s="1"/>
  <c r="N39" i="146" s="1"/>
  <c r="M41" i="146"/>
  <c r="M40" i="146" s="1"/>
  <c r="M39" i="146" s="1"/>
  <c r="L41" i="146"/>
  <c r="K41" i="146"/>
  <c r="J41" i="146"/>
  <c r="I41" i="146"/>
  <c r="I40" i="146" s="1"/>
  <c r="I39" i="146" s="1"/>
  <c r="H41" i="146"/>
  <c r="G41" i="146"/>
  <c r="F41" i="146"/>
  <c r="F40" i="146" s="1"/>
  <c r="F39" i="146" s="1"/>
  <c r="E52" i="146"/>
  <c r="E51" i="146"/>
  <c r="E50" i="146"/>
  <c r="E49" i="146"/>
  <c r="E48" i="146"/>
  <c r="E47" i="146"/>
  <c r="E46" i="146"/>
  <c r="E45" i="146"/>
  <c r="E44" i="146"/>
  <c r="E43" i="146"/>
  <c r="E42" i="146"/>
  <c r="E41" i="146"/>
  <c r="E40" i="146" s="1"/>
  <c r="E39" i="146" s="1"/>
  <c r="P38" i="146"/>
  <c r="O38" i="146"/>
  <c r="N38" i="146"/>
  <c r="M38" i="146"/>
  <c r="L38" i="146"/>
  <c r="K38" i="146"/>
  <c r="J38" i="146"/>
  <c r="I38" i="146"/>
  <c r="H38" i="146"/>
  <c r="G38" i="146"/>
  <c r="F38" i="146"/>
  <c r="E38" i="146"/>
  <c r="P37" i="146"/>
  <c r="O37" i="146"/>
  <c r="N37" i="146"/>
  <c r="M37" i="146"/>
  <c r="L37" i="146"/>
  <c r="K37" i="146"/>
  <c r="J37" i="146"/>
  <c r="I37" i="146"/>
  <c r="H37" i="146"/>
  <c r="G37" i="146"/>
  <c r="F37" i="146"/>
  <c r="E37" i="146"/>
  <c r="P36" i="146"/>
  <c r="O36" i="146"/>
  <c r="N36" i="146"/>
  <c r="M36" i="146"/>
  <c r="L36" i="146"/>
  <c r="K36" i="146"/>
  <c r="J36" i="146"/>
  <c r="I36" i="146"/>
  <c r="H36" i="146"/>
  <c r="G36" i="146"/>
  <c r="F36" i="146"/>
  <c r="E36" i="146"/>
  <c r="P35" i="146"/>
  <c r="O35" i="146"/>
  <c r="N35" i="146"/>
  <c r="M35" i="146"/>
  <c r="L35" i="146"/>
  <c r="K35" i="146"/>
  <c r="J35" i="146"/>
  <c r="I35" i="146"/>
  <c r="H35" i="146"/>
  <c r="G35" i="146"/>
  <c r="F35" i="146"/>
  <c r="E35" i="146"/>
  <c r="P34" i="146"/>
  <c r="O34" i="146"/>
  <c r="N34" i="146"/>
  <c r="M34" i="146"/>
  <c r="L34" i="146"/>
  <c r="K34" i="146"/>
  <c r="J34" i="146"/>
  <c r="I34" i="146"/>
  <c r="H34" i="146"/>
  <c r="G34" i="146"/>
  <c r="F34" i="146"/>
  <c r="E34" i="146"/>
  <c r="P33" i="146"/>
  <c r="O33" i="146"/>
  <c r="N33" i="146"/>
  <c r="M33" i="146"/>
  <c r="L33" i="146"/>
  <c r="K33" i="146"/>
  <c r="J33" i="146"/>
  <c r="I33" i="146"/>
  <c r="H33" i="146"/>
  <c r="G33" i="146"/>
  <c r="F33" i="146"/>
  <c r="E33" i="146"/>
  <c r="P32" i="146"/>
  <c r="O32" i="146"/>
  <c r="N32" i="146"/>
  <c r="M32" i="146"/>
  <c r="L32" i="146"/>
  <c r="K32" i="146"/>
  <c r="J32" i="146"/>
  <c r="I32" i="146"/>
  <c r="H32" i="146"/>
  <c r="G32" i="146"/>
  <c r="F32" i="146"/>
  <c r="E32" i="146"/>
  <c r="P31" i="146"/>
  <c r="O31" i="146"/>
  <c r="N31" i="146"/>
  <c r="M31" i="146"/>
  <c r="L31" i="146"/>
  <c r="K31" i="146"/>
  <c r="J31" i="146"/>
  <c r="I31" i="146"/>
  <c r="H31" i="146"/>
  <c r="G31" i="146"/>
  <c r="F31" i="146"/>
  <c r="E31" i="146"/>
  <c r="P30" i="146"/>
  <c r="O30" i="146"/>
  <c r="N30" i="146"/>
  <c r="M30" i="146"/>
  <c r="L30" i="146"/>
  <c r="K30" i="146"/>
  <c r="J30" i="146"/>
  <c r="I30" i="146"/>
  <c r="H30" i="146"/>
  <c r="G30" i="146"/>
  <c r="F30" i="146"/>
  <c r="E30" i="146"/>
  <c r="P29" i="146"/>
  <c r="O29" i="146"/>
  <c r="N29" i="146"/>
  <c r="M29" i="146"/>
  <c r="L29" i="146"/>
  <c r="K29" i="146"/>
  <c r="J29" i="146"/>
  <c r="I29" i="146"/>
  <c r="H29" i="146"/>
  <c r="G29" i="146"/>
  <c r="F29" i="146"/>
  <c r="E29" i="146"/>
  <c r="P28" i="146"/>
  <c r="O28" i="146"/>
  <c r="N28" i="146"/>
  <c r="M28" i="146"/>
  <c r="L28" i="146"/>
  <c r="K28" i="146"/>
  <c r="J28" i="146"/>
  <c r="I28" i="146"/>
  <c r="H28" i="146"/>
  <c r="G28" i="146"/>
  <c r="F28" i="146"/>
  <c r="E28" i="146"/>
  <c r="E26" i="146" s="1"/>
  <c r="E25" i="146" s="1"/>
  <c r="F27" i="146"/>
  <c r="G27" i="146"/>
  <c r="H27" i="146"/>
  <c r="I27" i="146"/>
  <c r="I26" i="146" s="1"/>
  <c r="I25" i="146" s="1"/>
  <c r="J27" i="146"/>
  <c r="K27" i="146"/>
  <c r="L27" i="146"/>
  <c r="M27" i="146"/>
  <c r="M26" i="146" s="1"/>
  <c r="M25" i="146" s="1"/>
  <c r="N27" i="146"/>
  <c r="O27" i="146"/>
  <c r="P27" i="146"/>
  <c r="E27" i="146"/>
  <c r="P24" i="146"/>
  <c r="O24" i="146"/>
  <c r="N24" i="146"/>
  <c r="M24" i="146"/>
  <c r="L24" i="146"/>
  <c r="K24" i="146"/>
  <c r="J24" i="146"/>
  <c r="I24" i="146"/>
  <c r="H24" i="146"/>
  <c r="G24" i="146"/>
  <c r="F24" i="146"/>
  <c r="E24" i="146"/>
  <c r="P23" i="146"/>
  <c r="O23" i="146"/>
  <c r="N23" i="146"/>
  <c r="M23" i="146"/>
  <c r="L23" i="146"/>
  <c r="K23" i="146"/>
  <c r="J23" i="146"/>
  <c r="I23" i="146"/>
  <c r="H23" i="146"/>
  <c r="G23" i="146"/>
  <c r="F23" i="146"/>
  <c r="E23" i="146"/>
  <c r="P22" i="146"/>
  <c r="O22" i="146"/>
  <c r="N22" i="146"/>
  <c r="M22" i="146"/>
  <c r="L22" i="146"/>
  <c r="K22" i="146"/>
  <c r="J22" i="146"/>
  <c r="I22" i="146"/>
  <c r="H22" i="146"/>
  <c r="G22" i="146"/>
  <c r="F22" i="146"/>
  <c r="E22" i="146"/>
  <c r="P21" i="146"/>
  <c r="O21" i="146"/>
  <c r="N21" i="146"/>
  <c r="M21" i="146"/>
  <c r="L21" i="146"/>
  <c r="K21" i="146"/>
  <c r="J21" i="146"/>
  <c r="I21" i="146"/>
  <c r="H21" i="146"/>
  <c r="G21" i="146"/>
  <c r="F21" i="146"/>
  <c r="E21" i="146"/>
  <c r="P19" i="146"/>
  <c r="O19" i="146"/>
  <c r="N19" i="146"/>
  <c r="M19" i="146"/>
  <c r="L19" i="146"/>
  <c r="K19" i="146"/>
  <c r="J19" i="146"/>
  <c r="I19" i="146"/>
  <c r="H19" i="146"/>
  <c r="G19" i="146"/>
  <c r="F19" i="146"/>
  <c r="E19" i="146"/>
  <c r="P18" i="146"/>
  <c r="O18" i="146"/>
  <c r="N18" i="146"/>
  <c r="M18" i="146"/>
  <c r="L18" i="146"/>
  <c r="K18" i="146"/>
  <c r="J18" i="146"/>
  <c r="I18" i="146"/>
  <c r="H18" i="146"/>
  <c r="G18" i="146"/>
  <c r="F18" i="146"/>
  <c r="E18" i="146"/>
  <c r="P17" i="146"/>
  <c r="O17" i="146"/>
  <c r="N17" i="146"/>
  <c r="M17" i="146"/>
  <c r="L17" i="146"/>
  <c r="K17" i="146"/>
  <c r="J17" i="146"/>
  <c r="I17" i="146"/>
  <c r="H17" i="146"/>
  <c r="G17" i="146"/>
  <c r="F17" i="146"/>
  <c r="E17" i="146"/>
  <c r="P16" i="146"/>
  <c r="O16" i="146"/>
  <c r="N16" i="146"/>
  <c r="M16" i="146"/>
  <c r="L16" i="146"/>
  <c r="K16" i="146"/>
  <c r="K14" i="146" s="1"/>
  <c r="K13" i="146" s="1"/>
  <c r="J16" i="146"/>
  <c r="I16" i="146"/>
  <c r="H16" i="146"/>
  <c r="G16" i="146"/>
  <c r="G14" i="146" s="1"/>
  <c r="G13" i="146" s="1"/>
  <c r="F16" i="146"/>
  <c r="E16" i="146"/>
  <c r="F15" i="146"/>
  <c r="G15" i="146"/>
  <c r="H15" i="146"/>
  <c r="I15" i="146"/>
  <c r="I14" i="146" s="1"/>
  <c r="I13" i="146" s="1"/>
  <c r="J15" i="146"/>
  <c r="K15" i="146"/>
  <c r="L15" i="146"/>
  <c r="M15" i="146"/>
  <c r="M14" i="146" s="1"/>
  <c r="M13" i="146" s="1"/>
  <c r="N15" i="146"/>
  <c r="O15" i="146"/>
  <c r="P15" i="146"/>
  <c r="E15" i="146"/>
  <c r="E14" i="146" s="1"/>
  <c r="E13" i="146" s="1"/>
  <c r="O193" i="146"/>
  <c r="N193" i="146"/>
  <c r="M193" i="146"/>
  <c r="M192" i="146" s="1"/>
  <c r="L193" i="146"/>
  <c r="J193" i="146" s="1"/>
  <c r="J192" i="146" s="1"/>
  <c r="K193" i="146"/>
  <c r="K192" i="146" s="1"/>
  <c r="H193" i="146"/>
  <c r="H192" i="146" s="1"/>
  <c r="G193" i="146"/>
  <c r="G192" i="146" s="1"/>
  <c r="F193" i="146"/>
  <c r="O192" i="146"/>
  <c r="N192" i="146"/>
  <c r="F192" i="146"/>
  <c r="O188" i="146"/>
  <c r="J188" i="146" s="1"/>
  <c r="J187" i="146" s="1"/>
  <c r="N188" i="146"/>
  <c r="N187" i="146" s="1"/>
  <c r="L188" i="146"/>
  <c r="K188" i="146"/>
  <c r="K187" i="146" s="1"/>
  <c r="H188" i="146"/>
  <c r="G188" i="146"/>
  <c r="F188" i="146"/>
  <c r="F187" i="146" s="1"/>
  <c r="L187" i="146"/>
  <c r="H187" i="146"/>
  <c r="G187" i="146"/>
  <c r="O181" i="146"/>
  <c r="J181" i="146" s="1"/>
  <c r="J180" i="146" s="1"/>
  <c r="N181" i="146"/>
  <c r="N180" i="146" s="1"/>
  <c r="M181" i="146"/>
  <c r="M180" i="146" s="1"/>
  <c r="L181" i="146"/>
  <c r="K181" i="146"/>
  <c r="K180" i="146" s="1"/>
  <c r="H181" i="146"/>
  <c r="H180" i="146" s="1"/>
  <c r="G181" i="146"/>
  <c r="F181" i="146"/>
  <c r="F180" i="146" s="1"/>
  <c r="L180" i="146"/>
  <c r="G180" i="146"/>
  <c r="M174" i="146"/>
  <c r="M173" i="146" s="1"/>
  <c r="O175" i="146"/>
  <c r="O174" i="146" s="1"/>
  <c r="K175" i="146"/>
  <c r="J175" i="146"/>
  <c r="E175" i="146"/>
  <c r="P175" i="146" s="1"/>
  <c r="N174" i="146"/>
  <c r="L174" i="146"/>
  <c r="L173" i="146" s="1"/>
  <c r="K174" i="146"/>
  <c r="K173" i="146" s="1"/>
  <c r="H174" i="146"/>
  <c r="G174" i="146"/>
  <c r="F174" i="146"/>
  <c r="N173" i="146"/>
  <c r="H173" i="146"/>
  <c r="G173" i="146"/>
  <c r="F173" i="146"/>
  <c r="O169" i="146"/>
  <c r="O168" i="146" s="1"/>
  <c r="N169" i="146"/>
  <c r="N168" i="146" s="1"/>
  <c r="L169" i="146"/>
  <c r="L168" i="146" s="1"/>
  <c r="K169" i="146"/>
  <c r="H169" i="146"/>
  <c r="G169" i="146"/>
  <c r="F169" i="146"/>
  <c r="F168" i="146" s="1"/>
  <c r="K168" i="146"/>
  <c r="H168" i="146"/>
  <c r="G168" i="146"/>
  <c r="O160" i="146"/>
  <c r="N160" i="146"/>
  <c r="N159" i="146" s="1"/>
  <c r="L160" i="146"/>
  <c r="J160" i="146" s="1"/>
  <c r="J159" i="146" s="1"/>
  <c r="K160" i="146"/>
  <c r="I160" i="146"/>
  <c r="I159" i="146" s="1"/>
  <c r="H160" i="146"/>
  <c r="H159" i="146" s="1"/>
  <c r="G160" i="146"/>
  <c r="F160" i="146"/>
  <c r="E160" i="146"/>
  <c r="E159" i="146" s="1"/>
  <c r="O159" i="146"/>
  <c r="K159" i="146"/>
  <c r="G159" i="146"/>
  <c r="F159" i="146"/>
  <c r="F138" i="146"/>
  <c r="F137" i="146" s="1"/>
  <c r="O138" i="146"/>
  <c r="O137" i="146" s="1"/>
  <c r="N138" i="146"/>
  <c r="N137" i="146" s="1"/>
  <c r="L138" i="146"/>
  <c r="J138" i="146" s="1"/>
  <c r="J137" i="146" s="1"/>
  <c r="K138" i="146"/>
  <c r="K137" i="146" s="1"/>
  <c r="I138" i="146"/>
  <c r="I137" i="146" s="1"/>
  <c r="H138" i="146"/>
  <c r="H137" i="146" s="1"/>
  <c r="G138" i="146"/>
  <c r="G137" i="146" s="1"/>
  <c r="L137" i="146"/>
  <c r="O122" i="146"/>
  <c r="N122" i="146"/>
  <c r="N121" i="146" s="1"/>
  <c r="M122" i="146"/>
  <c r="M121" i="146" s="1"/>
  <c r="L122" i="146"/>
  <c r="J122" i="146" s="1"/>
  <c r="J121" i="146" s="1"/>
  <c r="K122" i="146"/>
  <c r="H122" i="146"/>
  <c r="H121" i="146" s="1"/>
  <c r="G122" i="146"/>
  <c r="G121" i="146" s="1"/>
  <c r="F122" i="146"/>
  <c r="O121" i="146"/>
  <c r="K121" i="146"/>
  <c r="F121" i="146"/>
  <c r="O112" i="146"/>
  <c r="J112" i="146" s="1"/>
  <c r="J111" i="146" s="1"/>
  <c r="L112" i="146"/>
  <c r="K112" i="146"/>
  <c r="K111" i="146" s="1"/>
  <c r="H112" i="146"/>
  <c r="H111" i="146" s="1"/>
  <c r="G112" i="146"/>
  <c r="G111" i="146" s="1"/>
  <c r="L111" i="146"/>
  <c r="M54" i="146"/>
  <c r="M53" i="146" s="1"/>
  <c r="I54" i="146"/>
  <c r="I53" i="146" s="1"/>
  <c r="E54" i="146"/>
  <c r="E53" i="146" s="1"/>
  <c r="O40" i="146"/>
  <c r="O39" i="146" s="1"/>
  <c r="L40" i="146"/>
  <c r="J40" i="146" s="1"/>
  <c r="J39" i="146" s="1"/>
  <c r="K40" i="146"/>
  <c r="K39" i="146" s="1"/>
  <c r="H40" i="146"/>
  <c r="G40" i="146"/>
  <c r="L39" i="146"/>
  <c r="H39" i="146"/>
  <c r="G39" i="146"/>
  <c r="O26" i="146"/>
  <c r="J26" i="146" s="1"/>
  <c r="J25" i="146" s="1"/>
  <c r="N26" i="146"/>
  <c r="L26" i="146"/>
  <c r="K26" i="146"/>
  <c r="K25" i="146" s="1"/>
  <c r="H26" i="146"/>
  <c r="H25" i="146" s="1"/>
  <c r="G26" i="146"/>
  <c r="G25" i="146" s="1"/>
  <c r="F26" i="146"/>
  <c r="F25" i="146" s="1"/>
  <c r="N25" i="146"/>
  <c r="L25" i="146"/>
  <c r="O14" i="146"/>
  <c r="O13" i="146" s="1"/>
  <c r="N14" i="146"/>
  <c r="L14" i="146"/>
  <c r="H14" i="146"/>
  <c r="F14" i="146"/>
  <c r="F13" i="146" s="1"/>
  <c r="N13" i="146"/>
  <c r="G200" i="97"/>
  <c r="F64" i="97"/>
  <c r="F151" i="97"/>
  <c r="K19" i="125"/>
  <c r="G20" i="125"/>
  <c r="J169" i="146" l="1"/>
  <c r="J168" i="146" s="1"/>
  <c r="E122" i="146"/>
  <c r="P122" i="146" s="1"/>
  <c r="P121" i="146" s="1"/>
  <c r="F111" i="146"/>
  <c r="J54" i="146"/>
  <c r="J53" i="146" s="1"/>
  <c r="L53" i="146"/>
  <c r="L192" i="146"/>
  <c r="P193" i="146"/>
  <c r="P192" i="146" s="1"/>
  <c r="E187" i="146"/>
  <c r="O187" i="146"/>
  <c r="E180" i="146"/>
  <c r="O180" i="146"/>
  <c r="P169" i="146"/>
  <c r="P168" i="146" s="1"/>
  <c r="L159" i="146"/>
  <c r="P160" i="146"/>
  <c r="P159" i="146" s="1"/>
  <c r="P138" i="146"/>
  <c r="P137" i="146" s="1"/>
  <c r="L198" i="146"/>
  <c r="L121" i="146"/>
  <c r="H198" i="146"/>
  <c r="O111" i="146"/>
  <c r="P54" i="146"/>
  <c r="P53" i="146" s="1"/>
  <c r="N198" i="146"/>
  <c r="P40" i="146"/>
  <c r="P39" i="146" s="1"/>
  <c r="O25" i="146"/>
  <c r="K198" i="146"/>
  <c r="O198" i="146"/>
  <c r="P26" i="146"/>
  <c r="P25" i="146" s="1"/>
  <c r="G198" i="146"/>
  <c r="H13" i="146"/>
  <c r="L13" i="146"/>
  <c r="J14" i="146"/>
  <c r="J13" i="146" s="1"/>
  <c r="O173" i="146"/>
  <c r="J174" i="146"/>
  <c r="J173" i="146" s="1"/>
  <c r="I198" i="146"/>
  <c r="M198" i="146"/>
  <c r="E173" i="146"/>
  <c r="P174" i="146"/>
  <c r="P173" i="146" s="1"/>
  <c r="F198" i="146"/>
  <c r="E111" i="146"/>
  <c r="P112" i="146"/>
  <c r="P111" i="146" s="1"/>
  <c r="F24" i="97"/>
  <c r="O200" i="145"/>
  <c r="L200" i="145"/>
  <c r="K200" i="145"/>
  <c r="J200" i="145"/>
  <c r="H200" i="145"/>
  <c r="G200" i="145"/>
  <c r="F200" i="145"/>
  <c r="E200" i="145" s="1"/>
  <c r="O197" i="145"/>
  <c r="J197" i="145" s="1"/>
  <c r="P197" i="145" s="1"/>
  <c r="E197" i="145"/>
  <c r="P196" i="145"/>
  <c r="O196" i="145"/>
  <c r="J196" i="145" s="1"/>
  <c r="F196" i="145"/>
  <c r="E196" i="145"/>
  <c r="O195" i="145"/>
  <c r="J195" i="145"/>
  <c r="F195" i="145"/>
  <c r="E195" i="145" s="1"/>
  <c r="P195" i="145" s="1"/>
  <c r="K194" i="145"/>
  <c r="H194" i="145"/>
  <c r="G194" i="145"/>
  <c r="G193" i="145" s="1"/>
  <c r="G192" i="145" s="1"/>
  <c r="F194" i="145"/>
  <c r="N193" i="145"/>
  <c r="M193" i="145"/>
  <c r="L193" i="145"/>
  <c r="I193" i="145"/>
  <c r="H193" i="145"/>
  <c r="N192" i="145"/>
  <c r="M192" i="145"/>
  <c r="I192" i="145"/>
  <c r="H192" i="145"/>
  <c r="O191" i="145"/>
  <c r="J191" i="145" s="1"/>
  <c r="P191" i="145" s="1"/>
  <c r="E191" i="145"/>
  <c r="O190" i="145"/>
  <c r="K190" i="145"/>
  <c r="J190" i="145"/>
  <c r="E190" i="145"/>
  <c r="P190" i="145" s="1"/>
  <c r="O189" i="145"/>
  <c r="J189" i="145"/>
  <c r="G189" i="145"/>
  <c r="G188" i="145" s="1"/>
  <c r="G187" i="145" s="1"/>
  <c r="F189" i="145"/>
  <c r="E189" i="145" s="1"/>
  <c r="P189" i="145" s="1"/>
  <c r="R188" i="145"/>
  <c r="O188" i="145"/>
  <c r="N188" i="145"/>
  <c r="M188" i="145"/>
  <c r="L188" i="145"/>
  <c r="K188" i="145"/>
  <c r="J188" i="145"/>
  <c r="I188" i="145"/>
  <c r="H188" i="145"/>
  <c r="F188" i="145"/>
  <c r="O187" i="145"/>
  <c r="N187" i="145"/>
  <c r="M187" i="145"/>
  <c r="L187" i="145"/>
  <c r="K187" i="145"/>
  <c r="J187" i="145"/>
  <c r="I187" i="145"/>
  <c r="H187" i="145"/>
  <c r="F187" i="145"/>
  <c r="O186" i="145"/>
  <c r="L186" i="145"/>
  <c r="J186" i="145"/>
  <c r="P186" i="145" s="1"/>
  <c r="O185" i="145"/>
  <c r="J185" i="145"/>
  <c r="E185" i="145"/>
  <c r="P185" i="145" s="1"/>
  <c r="O184" i="145"/>
  <c r="J184" i="145"/>
  <c r="E184" i="145"/>
  <c r="P184" i="145" s="1"/>
  <c r="O183" i="145"/>
  <c r="L183" i="145"/>
  <c r="J183" i="145"/>
  <c r="E183" i="145"/>
  <c r="P183" i="145" s="1"/>
  <c r="O182" i="145"/>
  <c r="H182" i="145"/>
  <c r="G182" i="145"/>
  <c r="F182" i="145"/>
  <c r="N181" i="145"/>
  <c r="M181" i="145"/>
  <c r="L181" i="145"/>
  <c r="K181" i="145"/>
  <c r="I181" i="145"/>
  <c r="H181" i="145"/>
  <c r="G181" i="145"/>
  <c r="N180" i="145"/>
  <c r="M180" i="145"/>
  <c r="L180" i="145"/>
  <c r="K180" i="145"/>
  <c r="I180" i="145"/>
  <c r="H180" i="145"/>
  <c r="G180" i="145"/>
  <c r="R179" i="145"/>
  <c r="K179" i="145"/>
  <c r="O179" i="145" s="1"/>
  <c r="J179" i="145"/>
  <c r="E179" i="145"/>
  <c r="P179" i="145" s="1"/>
  <c r="K178" i="145"/>
  <c r="R178" i="145" s="1"/>
  <c r="F178" i="145"/>
  <c r="E178" i="145"/>
  <c r="O177" i="145"/>
  <c r="J177" i="145"/>
  <c r="F177" i="145"/>
  <c r="O176" i="145"/>
  <c r="J176" i="145" s="1"/>
  <c r="K176" i="145"/>
  <c r="R176" i="145" s="1"/>
  <c r="F176" i="145"/>
  <c r="E176" i="145"/>
  <c r="K175" i="145"/>
  <c r="O175" i="145" s="1"/>
  <c r="J175" i="145"/>
  <c r="P175" i="145" s="1"/>
  <c r="E175" i="145"/>
  <c r="N174" i="145"/>
  <c r="M174" i="145"/>
  <c r="L174" i="145"/>
  <c r="K174" i="145"/>
  <c r="R174" i="145" s="1"/>
  <c r="I174" i="145"/>
  <c r="H174" i="145"/>
  <c r="G174" i="145"/>
  <c r="N173" i="145"/>
  <c r="M173" i="145"/>
  <c r="L173" i="145"/>
  <c r="K173" i="145"/>
  <c r="I173" i="145"/>
  <c r="H173" i="145"/>
  <c r="G173" i="145"/>
  <c r="P172" i="145"/>
  <c r="O172" i="145"/>
  <c r="J172" i="145" s="1"/>
  <c r="K172" i="145"/>
  <c r="E172" i="145"/>
  <c r="P171" i="145"/>
  <c r="O171" i="145"/>
  <c r="J171" i="145" s="1"/>
  <c r="E171" i="145"/>
  <c r="K170" i="145"/>
  <c r="G170" i="145"/>
  <c r="F170" i="145"/>
  <c r="E170" i="145"/>
  <c r="N169" i="145"/>
  <c r="N168" i="145" s="1"/>
  <c r="M169" i="145"/>
  <c r="L169" i="145"/>
  <c r="I169" i="145"/>
  <c r="H169" i="145"/>
  <c r="G169" i="145"/>
  <c r="F169" i="145"/>
  <c r="F168" i="145" s="1"/>
  <c r="M168" i="145"/>
  <c r="L168" i="145"/>
  <c r="I168" i="145"/>
  <c r="H168" i="145"/>
  <c r="G168" i="145"/>
  <c r="K167" i="145"/>
  <c r="O167" i="145" s="1"/>
  <c r="J167" i="145" s="1"/>
  <c r="E167" i="145"/>
  <c r="O166" i="145"/>
  <c r="J166" i="145" s="1"/>
  <c r="K166" i="145"/>
  <c r="E166" i="145"/>
  <c r="P166" i="145" s="1"/>
  <c r="O165" i="145"/>
  <c r="K165" i="145"/>
  <c r="J165" i="145"/>
  <c r="E165" i="145"/>
  <c r="P165" i="145" s="1"/>
  <c r="K164" i="145"/>
  <c r="O164" i="145" s="1"/>
  <c r="J164" i="145"/>
  <c r="E164" i="145"/>
  <c r="P164" i="145" s="1"/>
  <c r="O163" i="145"/>
  <c r="J163" i="145" s="1"/>
  <c r="K163" i="145"/>
  <c r="E163" i="145"/>
  <c r="P162" i="145"/>
  <c r="O162" i="145"/>
  <c r="J162" i="145" s="1"/>
  <c r="F162" i="145"/>
  <c r="E162" i="145"/>
  <c r="R161" i="145"/>
  <c r="K161" i="145"/>
  <c r="O161" i="145" s="1"/>
  <c r="J161" i="145" s="1"/>
  <c r="H161" i="145"/>
  <c r="G161" i="145"/>
  <c r="F161" i="145"/>
  <c r="F160" i="145" s="1"/>
  <c r="F159" i="145" s="1"/>
  <c r="O160" i="145"/>
  <c r="O159" i="145" s="1"/>
  <c r="N160" i="145"/>
  <c r="M160" i="145"/>
  <c r="L160" i="145"/>
  <c r="K160" i="145"/>
  <c r="I160" i="145"/>
  <c r="H160" i="145"/>
  <c r="G160" i="145"/>
  <c r="N159" i="145"/>
  <c r="M159" i="145"/>
  <c r="L159" i="145"/>
  <c r="I159" i="145"/>
  <c r="H159" i="145"/>
  <c r="G159" i="145"/>
  <c r="O158" i="145"/>
  <c r="J158" i="145" s="1"/>
  <c r="G158" i="145"/>
  <c r="F158" i="145"/>
  <c r="E158" i="145" s="1"/>
  <c r="P158" i="145" s="1"/>
  <c r="O156" i="145"/>
  <c r="L156" i="145"/>
  <c r="E156" i="145"/>
  <c r="O155" i="145"/>
  <c r="J155" i="145" s="1"/>
  <c r="K155" i="145"/>
  <c r="E155" i="145"/>
  <c r="P155" i="145" s="1"/>
  <c r="O154" i="145"/>
  <c r="K154" i="145"/>
  <c r="J154" i="145"/>
  <c r="F154" i="145"/>
  <c r="E154" i="145" s="1"/>
  <c r="O153" i="145"/>
  <c r="J153" i="145"/>
  <c r="P153" i="145" s="1"/>
  <c r="E153" i="145"/>
  <c r="O152" i="145"/>
  <c r="J152" i="145" s="1"/>
  <c r="K152" i="145"/>
  <c r="F152" i="145"/>
  <c r="E152" i="145"/>
  <c r="O151" i="145"/>
  <c r="J151" i="145"/>
  <c r="F151" i="145"/>
  <c r="E151" i="145" s="1"/>
  <c r="P151" i="145" s="1"/>
  <c r="O150" i="145"/>
  <c r="J150" i="145"/>
  <c r="F150" i="145"/>
  <c r="E150" i="145" s="1"/>
  <c r="P150" i="145" s="1"/>
  <c r="O149" i="145"/>
  <c r="J149" i="145" s="1"/>
  <c r="E149" i="145"/>
  <c r="O148" i="145"/>
  <c r="J148" i="145" s="1"/>
  <c r="K148" i="145"/>
  <c r="E148" i="145"/>
  <c r="O147" i="145"/>
  <c r="J147" i="145" s="1"/>
  <c r="K147" i="145"/>
  <c r="H147" i="145"/>
  <c r="F147" i="145"/>
  <c r="E147" i="145" s="1"/>
  <c r="O146" i="145"/>
  <c r="J146" i="145" s="1"/>
  <c r="F146" i="145"/>
  <c r="E146" i="145" s="1"/>
  <c r="O145" i="145"/>
  <c r="K145" i="145"/>
  <c r="E145" i="145"/>
  <c r="O144" i="145"/>
  <c r="K144" i="145"/>
  <c r="J144" i="145"/>
  <c r="P144" i="145" s="1"/>
  <c r="E144" i="145"/>
  <c r="O143" i="145"/>
  <c r="J143" i="145"/>
  <c r="P143" i="145" s="1"/>
  <c r="F143" i="145"/>
  <c r="E143" i="145" s="1"/>
  <c r="O142" i="145"/>
  <c r="J142" i="145"/>
  <c r="P142" i="145" s="1"/>
  <c r="F142" i="145"/>
  <c r="E142" i="145" s="1"/>
  <c r="O141" i="145"/>
  <c r="J141" i="145" s="1"/>
  <c r="K141" i="145"/>
  <c r="E141" i="145"/>
  <c r="P141" i="145" s="1"/>
  <c r="O140" i="145"/>
  <c r="J140" i="145" s="1"/>
  <c r="F140" i="145"/>
  <c r="E140" i="145" s="1"/>
  <c r="P140" i="145" s="1"/>
  <c r="O139" i="145"/>
  <c r="J139" i="145"/>
  <c r="H139" i="145"/>
  <c r="H138" i="145" s="1"/>
  <c r="H137" i="145" s="1"/>
  <c r="G139" i="145"/>
  <c r="F139" i="145"/>
  <c r="E139" i="145"/>
  <c r="R138" i="145"/>
  <c r="N138" i="145"/>
  <c r="M138" i="145"/>
  <c r="K138" i="145"/>
  <c r="K137" i="145" s="1"/>
  <c r="I138" i="145"/>
  <c r="G138" i="145"/>
  <c r="N137" i="145"/>
  <c r="M137" i="145"/>
  <c r="I137" i="145"/>
  <c r="G137" i="145"/>
  <c r="R136" i="145"/>
  <c r="O136" i="145"/>
  <c r="J136" i="145" s="1"/>
  <c r="F136" i="145"/>
  <c r="E136" i="145"/>
  <c r="P136" i="145" s="1"/>
  <c r="O135" i="145"/>
  <c r="J135" i="145"/>
  <c r="E135" i="145"/>
  <c r="P135" i="145" s="1"/>
  <c r="R134" i="145"/>
  <c r="O134" i="145"/>
  <c r="J134" i="145"/>
  <c r="G134" i="145"/>
  <c r="F134" i="145"/>
  <c r="E134" i="145"/>
  <c r="P133" i="145"/>
  <c r="O133" i="145"/>
  <c r="J133" i="145" s="1"/>
  <c r="F133" i="145"/>
  <c r="E133" i="145"/>
  <c r="O132" i="145"/>
  <c r="J132" i="145"/>
  <c r="F132" i="145"/>
  <c r="E132" i="145"/>
  <c r="P132" i="145" s="1"/>
  <c r="O131" i="145"/>
  <c r="J131" i="145" s="1"/>
  <c r="F131" i="145"/>
  <c r="E131" i="145" s="1"/>
  <c r="N130" i="145"/>
  <c r="K130" i="145"/>
  <c r="O130" i="145" s="1"/>
  <c r="J130" i="145" s="1"/>
  <c r="H130" i="145"/>
  <c r="G130" i="145"/>
  <c r="F130" i="145"/>
  <c r="E130" i="145" s="1"/>
  <c r="P130" i="145" s="1"/>
  <c r="O129" i="145"/>
  <c r="J129" i="145"/>
  <c r="F129" i="145"/>
  <c r="E129" i="145" s="1"/>
  <c r="O128" i="145"/>
  <c r="J128" i="145"/>
  <c r="F128" i="145"/>
  <c r="E128" i="145" s="1"/>
  <c r="O127" i="145"/>
  <c r="J127" i="145"/>
  <c r="F127" i="145"/>
  <c r="E127" i="145"/>
  <c r="P127" i="145" s="1"/>
  <c r="K126" i="145"/>
  <c r="O126" i="145" s="1"/>
  <c r="J126" i="145" s="1"/>
  <c r="P126" i="145" s="1"/>
  <c r="H126" i="145"/>
  <c r="F126" i="145"/>
  <c r="E126" i="145"/>
  <c r="M125" i="145"/>
  <c r="M122" i="145" s="1"/>
  <c r="M121" i="145" s="1"/>
  <c r="K125" i="145"/>
  <c r="R125" i="145" s="1"/>
  <c r="H125" i="145"/>
  <c r="G125" i="145"/>
  <c r="F125" i="145"/>
  <c r="E125" i="145" s="1"/>
  <c r="O124" i="145"/>
  <c r="J124" i="145"/>
  <c r="P124" i="145" s="1"/>
  <c r="F124" i="145"/>
  <c r="E124" i="145" s="1"/>
  <c r="R123" i="145"/>
  <c r="O123" i="145"/>
  <c r="K123" i="145"/>
  <c r="G123" i="145"/>
  <c r="F123" i="145"/>
  <c r="N122" i="145"/>
  <c r="N121" i="145" s="1"/>
  <c r="L122" i="145"/>
  <c r="I122" i="145"/>
  <c r="I121" i="145" s="1"/>
  <c r="H122" i="145"/>
  <c r="L121" i="145"/>
  <c r="H121" i="145"/>
  <c r="R120" i="145"/>
  <c r="K120" i="145"/>
  <c r="O120" i="145" s="1"/>
  <c r="J120" i="145"/>
  <c r="E120" i="145"/>
  <c r="O119" i="145"/>
  <c r="J119" i="145"/>
  <c r="F119" i="145"/>
  <c r="E119" i="145" s="1"/>
  <c r="P119" i="145" s="1"/>
  <c r="O118" i="145"/>
  <c r="J118" i="145" s="1"/>
  <c r="F118" i="145"/>
  <c r="E118" i="145"/>
  <c r="P118" i="145" s="1"/>
  <c r="R117" i="145"/>
  <c r="K117" i="145"/>
  <c r="O117" i="145" s="1"/>
  <c r="J117" i="145"/>
  <c r="P117" i="145" s="1"/>
  <c r="H117" i="145"/>
  <c r="F117" i="145"/>
  <c r="E117" i="145"/>
  <c r="R116" i="145"/>
  <c r="K116" i="145"/>
  <c r="O116" i="145" s="1"/>
  <c r="J116" i="145"/>
  <c r="P116" i="145" s="1"/>
  <c r="H116" i="145"/>
  <c r="E116" i="145"/>
  <c r="R115" i="145"/>
  <c r="P115" i="145"/>
  <c r="O115" i="145"/>
  <c r="J115" i="145" s="1"/>
  <c r="F115" i="145"/>
  <c r="E115" i="145"/>
  <c r="O114" i="145"/>
  <c r="J114" i="145"/>
  <c r="E114" i="145"/>
  <c r="P114" i="145" s="1"/>
  <c r="K113" i="145"/>
  <c r="H113" i="145"/>
  <c r="G113" i="145"/>
  <c r="F113" i="145"/>
  <c r="N112" i="145"/>
  <c r="M112" i="145"/>
  <c r="L112" i="145"/>
  <c r="I112" i="145"/>
  <c r="H112" i="145"/>
  <c r="H111" i="145" s="1"/>
  <c r="G112" i="145"/>
  <c r="N111" i="145"/>
  <c r="M111" i="145"/>
  <c r="I111" i="145"/>
  <c r="G111" i="145"/>
  <c r="O109" i="145"/>
  <c r="L109" i="145"/>
  <c r="J109" i="145"/>
  <c r="E109" i="145"/>
  <c r="O108" i="145"/>
  <c r="J108" i="145" s="1"/>
  <c r="K108" i="145"/>
  <c r="R108" i="145" s="1"/>
  <c r="E108" i="145"/>
  <c r="R107" i="145"/>
  <c r="O107" i="145"/>
  <c r="J107" i="145"/>
  <c r="E107" i="145"/>
  <c r="P107" i="145" s="1"/>
  <c r="K106" i="145"/>
  <c r="E106" i="145"/>
  <c r="R105" i="145"/>
  <c r="P105" i="145"/>
  <c r="O105" i="145"/>
  <c r="J105" i="145" s="1"/>
  <c r="K105" i="145"/>
  <c r="F105" i="145"/>
  <c r="E105" i="145" s="1"/>
  <c r="O104" i="145"/>
  <c r="J104" i="145" s="1"/>
  <c r="K104" i="145"/>
  <c r="R104" i="145" s="1"/>
  <c r="H104" i="145"/>
  <c r="G104" i="145"/>
  <c r="F104" i="145"/>
  <c r="E104" i="145" s="1"/>
  <c r="P104" i="145" s="1"/>
  <c r="O101" i="145"/>
  <c r="J101" i="145" s="1"/>
  <c r="F101" i="145"/>
  <c r="E101" i="145"/>
  <c r="P101" i="145" s="1"/>
  <c r="R98" i="145"/>
  <c r="O98" i="145"/>
  <c r="J98" i="145"/>
  <c r="E98" i="145"/>
  <c r="P98" i="145" s="1"/>
  <c r="R94" i="145"/>
  <c r="O94" i="145"/>
  <c r="J94" i="145"/>
  <c r="E94" i="145"/>
  <c r="R91" i="145"/>
  <c r="O91" i="145"/>
  <c r="J91" i="145" s="1"/>
  <c r="P91" i="145" s="1"/>
  <c r="E91" i="145"/>
  <c r="O90" i="145"/>
  <c r="J90" i="145" s="1"/>
  <c r="G90" i="145"/>
  <c r="F90" i="145"/>
  <c r="E90" i="145"/>
  <c r="P90" i="145" s="1"/>
  <c r="O89" i="145"/>
  <c r="J89" i="145"/>
  <c r="F89" i="145"/>
  <c r="E89" i="145" s="1"/>
  <c r="P89" i="145" s="1"/>
  <c r="O88" i="145"/>
  <c r="J88" i="145"/>
  <c r="E88" i="145"/>
  <c r="P88" i="145" s="1"/>
  <c r="O87" i="145"/>
  <c r="J87" i="145"/>
  <c r="P87" i="145" s="1"/>
  <c r="E87" i="145"/>
  <c r="O86" i="145"/>
  <c r="J86" i="145"/>
  <c r="P86" i="145" s="1"/>
  <c r="E86" i="145"/>
  <c r="O85" i="145"/>
  <c r="J85" i="145"/>
  <c r="P85" i="145" s="1"/>
  <c r="F85" i="145"/>
  <c r="E85" i="145" s="1"/>
  <c r="R84" i="145"/>
  <c r="O84" i="145"/>
  <c r="J84" i="145" s="1"/>
  <c r="H84" i="145"/>
  <c r="G84" i="145"/>
  <c r="F84" i="145"/>
  <c r="E84" i="145" s="1"/>
  <c r="P84" i="145" s="1"/>
  <c r="R83" i="145"/>
  <c r="O83" i="145"/>
  <c r="J83" i="145" s="1"/>
  <c r="P83" i="145" s="1"/>
  <c r="K83" i="145"/>
  <c r="H83" i="145"/>
  <c r="G83" i="145"/>
  <c r="F83" i="145"/>
  <c r="E83" i="145"/>
  <c r="P82" i="145"/>
  <c r="O82" i="145"/>
  <c r="J82" i="145" s="1"/>
  <c r="F82" i="145"/>
  <c r="E82" i="145"/>
  <c r="O81" i="145"/>
  <c r="J81" i="145"/>
  <c r="F81" i="145"/>
  <c r="E81" i="145" s="1"/>
  <c r="P81" i="145" s="1"/>
  <c r="T79" i="145"/>
  <c r="Q79" i="145"/>
  <c r="O79" i="145"/>
  <c r="J79" i="145"/>
  <c r="R79" i="145" s="1"/>
  <c r="E79" i="145"/>
  <c r="P79" i="145" s="1"/>
  <c r="O78" i="145"/>
  <c r="J78" i="145"/>
  <c r="F78" i="145"/>
  <c r="E78" i="145" s="1"/>
  <c r="P78" i="145" s="1"/>
  <c r="O77" i="145"/>
  <c r="J77" i="145"/>
  <c r="F77" i="145"/>
  <c r="E77" i="145" s="1"/>
  <c r="O76" i="145"/>
  <c r="J76" i="145" s="1"/>
  <c r="F76" i="145"/>
  <c r="E76" i="145"/>
  <c r="O75" i="145"/>
  <c r="J75" i="145" s="1"/>
  <c r="P75" i="145" s="1"/>
  <c r="E75" i="145"/>
  <c r="P74" i="145"/>
  <c r="O74" i="145"/>
  <c r="J74" i="145" s="1"/>
  <c r="E74" i="145"/>
  <c r="O73" i="145"/>
  <c r="J73" i="145" s="1"/>
  <c r="P73" i="145" s="1"/>
  <c r="E73" i="145"/>
  <c r="P72" i="145"/>
  <c r="O72" i="145"/>
  <c r="J72" i="145" s="1"/>
  <c r="F72" i="145"/>
  <c r="E72" i="145"/>
  <c r="O71" i="145"/>
  <c r="J71" i="145"/>
  <c r="E71" i="145"/>
  <c r="P71" i="145" s="1"/>
  <c r="O70" i="145"/>
  <c r="J70" i="145"/>
  <c r="E70" i="145"/>
  <c r="P70" i="145" s="1"/>
  <c r="O69" i="145"/>
  <c r="J69" i="145"/>
  <c r="E69" i="145"/>
  <c r="P69" i="145" s="1"/>
  <c r="O68" i="145"/>
  <c r="J68" i="145"/>
  <c r="E68" i="145"/>
  <c r="P68" i="145" s="1"/>
  <c r="O67" i="145"/>
  <c r="J67" i="145"/>
  <c r="F67" i="145"/>
  <c r="E67" i="145" s="1"/>
  <c r="P67" i="145" s="1"/>
  <c r="O66" i="145"/>
  <c r="J66" i="145"/>
  <c r="F66" i="145"/>
  <c r="E66" i="145" s="1"/>
  <c r="O65" i="145"/>
  <c r="J65" i="145" s="1"/>
  <c r="P65" i="145" s="1"/>
  <c r="E65" i="145"/>
  <c r="O64" i="145"/>
  <c r="J64" i="145" s="1"/>
  <c r="F64" i="145"/>
  <c r="E64" i="145"/>
  <c r="P64" i="145" s="1"/>
  <c r="O63" i="145"/>
  <c r="J63" i="145" s="1"/>
  <c r="P63" i="145" s="1"/>
  <c r="E63" i="145"/>
  <c r="P62" i="145"/>
  <c r="O62" i="145"/>
  <c r="J62" i="145" s="1"/>
  <c r="E62" i="145"/>
  <c r="O61" i="145"/>
  <c r="J61" i="145" s="1"/>
  <c r="F61" i="145"/>
  <c r="E61" i="145"/>
  <c r="P61" i="145" s="1"/>
  <c r="R60" i="145"/>
  <c r="O60" i="145"/>
  <c r="J60" i="145"/>
  <c r="F60" i="145"/>
  <c r="E60" i="145" s="1"/>
  <c r="P60" i="145" s="1"/>
  <c r="O59" i="145"/>
  <c r="J59" i="145" s="1"/>
  <c r="F59" i="145"/>
  <c r="E59" i="145"/>
  <c r="P58" i="145"/>
  <c r="O58" i="145"/>
  <c r="J58" i="145" s="1"/>
  <c r="E58" i="145"/>
  <c r="O57" i="145"/>
  <c r="J57" i="145" s="1"/>
  <c r="E57" i="145"/>
  <c r="P57" i="145" s="1"/>
  <c r="O56" i="145"/>
  <c r="J56" i="145" s="1"/>
  <c r="F56" i="145"/>
  <c r="E56" i="145" s="1"/>
  <c r="P56" i="145" s="1"/>
  <c r="O55" i="145"/>
  <c r="J55" i="145" s="1"/>
  <c r="K55" i="145"/>
  <c r="R55" i="145" s="1"/>
  <c r="H55" i="145"/>
  <c r="G55" i="145"/>
  <c r="F55" i="145"/>
  <c r="N54" i="145"/>
  <c r="M54" i="145"/>
  <c r="L54" i="145"/>
  <c r="K54" i="145"/>
  <c r="R54" i="145" s="1"/>
  <c r="I54" i="145"/>
  <c r="I53" i="145" s="1"/>
  <c r="H54" i="145"/>
  <c r="G54" i="145"/>
  <c r="G53" i="145" s="1"/>
  <c r="N53" i="145"/>
  <c r="M53" i="145"/>
  <c r="L53" i="145"/>
  <c r="K53" i="145"/>
  <c r="H53" i="145"/>
  <c r="R52" i="145"/>
  <c r="O52" i="145"/>
  <c r="K52" i="145"/>
  <c r="J52" i="145"/>
  <c r="F52" i="145"/>
  <c r="E52" i="145"/>
  <c r="P52" i="145" s="1"/>
  <c r="K51" i="145"/>
  <c r="O51" i="145" s="1"/>
  <c r="J51" i="145" s="1"/>
  <c r="E51" i="145"/>
  <c r="P51" i="145" s="1"/>
  <c r="O50" i="145"/>
  <c r="J50" i="145" s="1"/>
  <c r="F50" i="145"/>
  <c r="E50" i="145" s="1"/>
  <c r="P50" i="145" s="1"/>
  <c r="R49" i="145"/>
  <c r="O49" i="145"/>
  <c r="K49" i="145"/>
  <c r="J49" i="145"/>
  <c r="H49" i="145"/>
  <c r="G49" i="145"/>
  <c r="F49" i="145"/>
  <c r="E49" i="145"/>
  <c r="P49" i="145" s="1"/>
  <c r="O48" i="145"/>
  <c r="J48" i="145" s="1"/>
  <c r="F48" i="145"/>
  <c r="E48" i="145" s="1"/>
  <c r="P48" i="145" s="1"/>
  <c r="O47" i="145"/>
  <c r="J47" i="145"/>
  <c r="F47" i="145"/>
  <c r="E47" i="145"/>
  <c r="P47" i="145" s="1"/>
  <c r="O46" i="145"/>
  <c r="J46" i="145" s="1"/>
  <c r="F46" i="145"/>
  <c r="E46" i="145" s="1"/>
  <c r="P46" i="145" s="1"/>
  <c r="L45" i="145"/>
  <c r="K45" i="145"/>
  <c r="R45" i="145" s="1"/>
  <c r="F45" i="145"/>
  <c r="E45" i="145" s="1"/>
  <c r="O44" i="145"/>
  <c r="L44" i="145"/>
  <c r="J44" i="145" s="1"/>
  <c r="K44" i="145"/>
  <c r="R44" i="145" s="1"/>
  <c r="F44" i="145"/>
  <c r="E44" i="145" s="1"/>
  <c r="R43" i="145"/>
  <c r="O43" i="145"/>
  <c r="J43" i="145" s="1"/>
  <c r="L43" i="145"/>
  <c r="F43" i="145"/>
  <c r="E43" i="145"/>
  <c r="P43" i="145" s="1"/>
  <c r="L42" i="145"/>
  <c r="L40" i="145" s="1"/>
  <c r="K42" i="145"/>
  <c r="R42" i="145" s="1"/>
  <c r="F42" i="145"/>
  <c r="E42" i="145"/>
  <c r="O41" i="145"/>
  <c r="J41" i="145" s="1"/>
  <c r="G41" i="145"/>
  <c r="F41" i="145"/>
  <c r="E41" i="145"/>
  <c r="P41" i="145" s="1"/>
  <c r="N40" i="145"/>
  <c r="M40" i="145"/>
  <c r="K40" i="145"/>
  <c r="R40" i="145" s="1"/>
  <c r="I40" i="145"/>
  <c r="H40" i="145"/>
  <c r="G40" i="145"/>
  <c r="F40" i="145"/>
  <c r="N39" i="145"/>
  <c r="M39" i="145"/>
  <c r="K39" i="145"/>
  <c r="I39" i="145"/>
  <c r="H39" i="145"/>
  <c r="G39" i="145"/>
  <c r="F39" i="145"/>
  <c r="K38" i="145"/>
  <c r="R38" i="145" s="1"/>
  <c r="F38" i="145"/>
  <c r="E38" i="145" s="1"/>
  <c r="R37" i="145"/>
  <c r="O37" i="145"/>
  <c r="K37" i="145"/>
  <c r="J37" i="145"/>
  <c r="E37" i="145"/>
  <c r="P37" i="145" s="1"/>
  <c r="O36" i="145"/>
  <c r="J36" i="145"/>
  <c r="P36" i="145" s="1"/>
  <c r="E36" i="145"/>
  <c r="O35" i="145"/>
  <c r="J35" i="145"/>
  <c r="G35" i="145"/>
  <c r="F35" i="145"/>
  <c r="E35" i="145" s="1"/>
  <c r="P35" i="145" s="1"/>
  <c r="O34" i="145"/>
  <c r="J34" i="145"/>
  <c r="F34" i="145"/>
  <c r="E34" i="145"/>
  <c r="P34" i="145" s="1"/>
  <c r="K33" i="145"/>
  <c r="R33" i="145" s="1"/>
  <c r="H33" i="145"/>
  <c r="G33" i="145"/>
  <c r="F33" i="145"/>
  <c r="E33" i="145" s="1"/>
  <c r="O32" i="145"/>
  <c r="J32" i="145"/>
  <c r="G32" i="145"/>
  <c r="F32" i="145"/>
  <c r="E32" i="145" s="1"/>
  <c r="P32" i="145" s="1"/>
  <c r="R31" i="145"/>
  <c r="N31" i="145"/>
  <c r="M31" i="145"/>
  <c r="L31" i="145"/>
  <c r="J31" i="145" s="1"/>
  <c r="K31" i="145"/>
  <c r="O31" i="145" s="1"/>
  <c r="H31" i="145"/>
  <c r="G31" i="145"/>
  <c r="F31" i="145"/>
  <c r="E31" i="145" s="1"/>
  <c r="R30" i="145"/>
  <c r="O30" i="145"/>
  <c r="M30" i="145"/>
  <c r="L30" i="145"/>
  <c r="J30" i="145" s="1"/>
  <c r="K30" i="145"/>
  <c r="H30" i="145"/>
  <c r="G30" i="145"/>
  <c r="F30" i="145"/>
  <c r="E30" i="145"/>
  <c r="K29" i="145"/>
  <c r="O29" i="145" s="1"/>
  <c r="J29" i="145" s="1"/>
  <c r="H29" i="145"/>
  <c r="G29" i="145"/>
  <c r="F29" i="145"/>
  <c r="E29" i="145" s="1"/>
  <c r="R28" i="145"/>
  <c r="O28" i="145"/>
  <c r="M28" i="145"/>
  <c r="L28" i="145"/>
  <c r="J28" i="145" s="1"/>
  <c r="K28" i="145"/>
  <c r="H28" i="145"/>
  <c r="G28" i="145"/>
  <c r="G26" i="145" s="1"/>
  <c r="G25" i="145" s="1"/>
  <c r="F28" i="145"/>
  <c r="E28" i="145" s="1"/>
  <c r="P28" i="145" s="1"/>
  <c r="M27" i="145"/>
  <c r="M26" i="145" s="1"/>
  <c r="M25" i="145" s="1"/>
  <c r="L27" i="145"/>
  <c r="K27" i="145"/>
  <c r="O27" i="145" s="1"/>
  <c r="H27" i="145"/>
  <c r="G27" i="145"/>
  <c r="F27" i="145"/>
  <c r="E27" i="145" s="1"/>
  <c r="N26" i="145"/>
  <c r="L26" i="145"/>
  <c r="I26" i="145"/>
  <c r="H26" i="145"/>
  <c r="N25" i="145"/>
  <c r="L25" i="145"/>
  <c r="I25" i="145"/>
  <c r="H25" i="145"/>
  <c r="R24" i="145"/>
  <c r="O24" i="145"/>
  <c r="K24" i="145"/>
  <c r="J24" i="145"/>
  <c r="F24" i="145"/>
  <c r="E24" i="145" s="1"/>
  <c r="P24" i="145" s="1"/>
  <c r="R23" i="145"/>
  <c r="O23" i="145"/>
  <c r="J23" i="145" s="1"/>
  <c r="P23" i="145" s="1"/>
  <c r="E23" i="145"/>
  <c r="O22" i="145"/>
  <c r="J22" i="145" s="1"/>
  <c r="P22" i="145" s="1"/>
  <c r="E22" i="145"/>
  <c r="O21" i="145"/>
  <c r="J21" i="145" s="1"/>
  <c r="F21" i="145"/>
  <c r="E21" i="145"/>
  <c r="P21" i="145" s="1"/>
  <c r="O19" i="145"/>
  <c r="L19" i="145"/>
  <c r="J19" i="145" s="1"/>
  <c r="E19" i="145"/>
  <c r="O18" i="145"/>
  <c r="J18" i="145" s="1"/>
  <c r="P18" i="145" s="1"/>
  <c r="F18" i="145"/>
  <c r="E18" i="145" s="1"/>
  <c r="R17" i="145"/>
  <c r="O17" i="145"/>
  <c r="K17" i="145"/>
  <c r="J17" i="145"/>
  <c r="P17" i="145" s="1"/>
  <c r="G17" i="145"/>
  <c r="E17" i="145"/>
  <c r="O16" i="145"/>
  <c r="J16" i="145" s="1"/>
  <c r="F16" i="145"/>
  <c r="E16" i="145" s="1"/>
  <c r="R15" i="145"/>
  <c r="O15" i="145"/>
  <c r="K15" i="145"/>
  <c r="J15" i="145"/>
  <c r="P15" i="145" s="1"/>
  <c r="H15" i="145"/>
  <c r="H14" i="145" s="1"/>
  <c r="G15" i="145"/>
  <c r="F15" i="145"/>
  <c r="E15" i="145"/>
  <c r="E14" i="145" s="1"/>
  <c r="O14" i="145"/>
  <c r="N14" i="145"/>
  <c r="N198" i="145" s="1"/>
  <c r="N207" i="145" s="1"/>
  <c r="M14" i="145"/>
  <c r="K14" i="145"/>
  <c r="I14" i="145"/>
  <c r="I198" i="145" s="1"/>
  <c r="I207" i="145" s="1"/>
  <c r="G14" i="145"/>
  <c r="F14" i="145"/>
  <c r="O13" i="145"/>
  <c r="N13" i="145"/>
  <c r="M13" i="145"/>
  <c r="K13" i="145"/>
  <c r="I13" i="145"/>
  <c r="G13" i="145"/>
  <c r="F13" i="145"/>
  <c r="E198" i="146" l="1"/>
  <c r="E121" i="146"/>
  <c r="P14" i="146"/>
  <c r="P13" i="146" s="1"/>
  <c r="J198" i="146"/>
  <c r="P198" i="146"/>
  <c r="P31" i="145"/>
  <c r="J27" i="145"/>
  <c r="P19" i="145"/>
  <c r="Q19" i="145" s="1"/>
  <c r="E26" i="145"/>
  <c r="P27" i="145"/>
  <c r="P44" i="145"/>
  <c r="E40" i="145"/>
  <c r="H198" i="145"/>
  <c r="H13" i="145"/>
  <c r="E13" i="145"/>
  <c r="P16" i="145"/>
  <c r="P29" i="145"/>
  <c r="P30" i="145"/>
  <c r="L39" i="145"/>
  <c r="O45" i="145"/>
  <c r="J45" i="145" s="1"/>
  <c r="P45" i="145" s="1"/>
  <c r="E55" i="145"/>
  <c r="F54" i="145"/>
  <c r="F53" i="145" s="1"/>
  <c r="P76" i="145"/>
  <c r="P108" i="145"/>
  <c r="J145" i="145"/>
  <c r="P145" i="145" s="1"/>
  <c r="O138" i="145"/>
  <c r="O137" i="145" s="1"/>
  <c r="R160" i="145"/>
  <c r="K159" i="145"/>
  <c r="F174" i="145"/>
  <c r="F173" i="145" s="1"/>
  <c r="E177" i="145"/>
  <c r="P177" i="145" s="1"/>
  <c r="J182" i="145"/>
  <c r="O181" i="145"/>
  <c r="O180" i="145" s="1"/>
  <c r="L14" i="145"/>
  <c r="R27" i="145"/>
  <c r="R29" i="145"/>
  <c r="O33" i="145"/>
  <c r="J33" i="145" s="1"/>
  <c r="P33" i="145" s="1"/>
  <c r="O38" i="145"/>
  <c r="J38" i="145" s="1"/>
  <c r="P38" i="145" s="1"/>
  <c r="O42" i="145"/>
  <c r="O40" i="145" s="1"/>
  <c r="O39" i="145" s="1"/>
  <c r="R51" i="145"/>
  <c r="P66" i="145"/>
  <c r="P94" i="145"/>
  <c r="R113" i="145"/>
  <c r="K112" i="145"/>
  <c r="O113" i="145"/>
  <c r="J123" i="145"/>
  <c r="P154" i="145"/>
  <c r="F181" i="145"/>
  <c r="F180" i="145" s="1"/>
  <c r="E182" i="145"/>
  <c r="M198" i="145"/>
  <c r="M207" i="145" s="1"/>
  <c r="F26" i="145"/>
  <c r="F25" i="145" s="1"/>
  <c r="J42" i="145"/>
  <c r="P42" i="145" s="1"/>
  <c r="E113" i="145"/>
  <c r="F112" i="145"/>
  <c r="E123" i="145"/>
  <c r="E122" i="145" s="1"/>
  <c r="F122" i="145"/>
  <c r="F121" i="145" s="1"/>
  <c r="F138" i="145"/>
  <c r="F137" i="145" s="1"/>
  <c r="O170" i="145"/>
  <c r="K169" i="145"/>
  <c r="R170" i="145"/>
  <c r="E194" i="145"/>
  <c r="F193" i="145"/>
  <c r="F192" i="145" s="1"/>
  <c r="R14" i="145"/>
  <c r="K26" i="145"/>
  <c r="P59" i="145"/>
  <c r="P77" i="145"/>
  <c r="R106" i="145"/>
  <c r="O106" i="145"/>
  <c r="J106" i="145" s="1"/>
  <c r="P106" i="145" s="1"/>
  <c r="P109" i="145"/>
  <c r="Q109" i="145" s="1"/>
  <c r="L111" i="145"/>
  <c r="P120" i="145"/>
  <c r="P129" i="145"/>
  <c r="R130" i="145"/>
  <c r="P147" i="145"/>
  <c r="P167" i="145"/>
  <c r="E169" i="145"/>
  <c r="E188" i="145"/>
  <c r="L192" i="145"/>
  <c r="G122" i="145"/>
  <c r="G121" i="145" s="1"/>
  <c r="R126" i="145"/>
  <c r="P131" i="145"/>
  <c r="P134" i="145"/>
  <c r="E138" i="145"/>
  <c r="P139" i="145"/>
  <c r="P149" i="145"/>
  <c r="J156" i="145"/>
  <c r="P156" i="145" s="1"/>
  <c r="Q156" i="145" s="1"/>
  <c r="L138" i="145"/>
  <c r="J160" i="145"/>
  <c r="J159" i="145" s="1"/>
  <c r="P163" i="145"/>
  <c r="O174" i="145"/>
  <c r="O173" i="145" s="1"/>
  <c r="P200" i="145"/>
  <c r="P146" i="145"/>
  <c r="P148" i="145"/>
  <c r="E161" i="145"/>
  <c r="J174" i="145"/>
  <c r="J173" i="145" s="1"/>
  <c r="J181" i="145"/>
  <c r="J208" i="145"/>
  <c r="O125" i="145"/>
  <c r="J125" i="145" s="1"/>
  <c r="P125" i="145" s="1"/>
  <c r="K122" i="145"/>
  <c r="P128" i="145"/>
  <c r="P152" i="145"/>
  <c r="E174" i="145"/>
  <c r="P176" i="145"/>
  <c r="O178" i="145"/>
  <c r="J178" i="145" s="1"/>
  <c r="P178" i="145" s="1"/>
  <c r="K193" i="145"/>
  <c r="O194" i="145"/>
  <c r="H207" i="145"/>
  <c r="G28" i="97"/>
  <c r="F28" i="97"/>
  <c r="R181" i="145" l="1"/>
  <c r="J180" i="145"/>
  <c r="K192" i="145"/>
  <c r="R193" i="145"/>
  <c r="P188" i="145"/>
  <c r="E187" i="145"/>
  <c r="E193" i="145"/>
  <c r="F111" i="145"/>
  <c r="E112" i="145"/>
  <c r="G198" i="145"/>
  <c r="G207" i="145" s="1"/>
  <c r="P123" i="145"/>
  <c r="P55" i="145"/>
  <c r="E54" i="145"/>
  <c r="J40" i="145"/>
  <c r="J39" i="145" s="1"/>
  <c r="E25" i="145"/>
  <c r="J194" i="145"/>
  <c r="P194" i="145" s="1"/>
  <c r="O193" i="145"/>
  <c r="P161" i="145"/>
  <c r="E160" i="145"/>
  <c r="L137" i="145"/>
  <c r="J138" i="145"/>
  <c r="J137" i="145" s="1"/>
  <c r="E137" i="145"/>
  <c r="F198" i="145"/>
  <c r="F207" i="145" s="1"/>
  <c r="P113" i="145"/>
  <c r="P182" i="145"/>
  <c r="E181" i="145"/>
  <c r="O122" i="145"/>
  <c r="E198" i="145"/>
  <c r="E39" i="145"/>
  <c r="R122" i="145"/>
  <c r="K121" i="145"/>
  <c r="E168" i="145"/>
  <c r="R169" i="145"/>
  <c r="K168" i="145"/>
  <c r="J113" i="145"/>
  <c r="O112" i="145"/>
  <c r="L198" i="145"/>
  <c r="L207" i="145" s="1"/>
  <c r="J14" i="145"/>
  <c r="L13" i="145"/>
  <c r="O26" i="145"/>
  <c r="E173" i="145"/>
  <c r="P174" i="145"/>
  <c r="K25" i="145"/>
  <c r="R26" i="145"/>
  <c r="J170" i="145"/>
  <c r="P170" i="145" s="1"/>
  <c r="O169" i="145"/>
  <c r="E121" i="145"/>
  <c r="K111" i="145"/>
  <c r="R112" i="145"/>
  <c r="O54" i="145"/>
  <c r="K198" i="145"/>
  <c r="G27" i="97"/>
  <c r="F27" i="97"/>
  <c r="J169" i="145" l="1"/>
  <c r="O168" i="145"/>
  <c r="Q174" i="145"/>
  <c r="P173" i="145"/>
  <c r="J13" i="145"/>
  <c r="P14" i="145"/>
  <c r="E208" i="145"/>
  <c r="F208" i="145"/>
  <c r="E207" i="145"/>
  <c r="E192" i="145"/>
  <c r="O192" i="145"/>
  <c r="J193" i="145"/>
  <c r="J192" i="145" s="1"/>
  <c r="K207" i="145"/>
  <c r="Q198" i="145"/>
  <c r="O25" i="145"/>
  <c r="O198" i="145"/>
  <c r="O207" i="145" s="1"/>
  <c r="J26" i="145"/>
  <c r="O111" i="145"/>
  <c r="J112" i="145"/>
  <c r="J111" i="145" s="1"/>
  <c r="E180" i="145"/>
  <c r="P181" i="145"/>
  <c r="P138" i="145"/>
  <c r="E159" i="145"/>
  <c r="P160" i="145"/>
  <c r="E53" i="145"/>
  <c r="E111" i="145"/>
  <c r="P112" i="145"/>
  <c r="O121" i="145"/>
  <c r="J122" i="145"/>
  <c r="O53" i="145"/>
  <c r="J54" i="145"/>
  <c r="J53" i="145" s="1"/>
  <c r="P40" i="145"/>
  <c r="P187" i="145"/>
  <c r="Q188" i="145"/>
  <c r="N197" i="144"/>
  <c r="M197" i="144"/>
  <c r="L197" i="144"/>
  <c r="K197" i="144"/>
  <c r="I197" i="144"/>
  <c r="H197" i="144"/>
  <c r="G197" i="144"/>
  <c r="F197" i="144"/>
  <c r="N196" i="144"/>
  <c r="M196" i="144"/>
  <c r="L196" i="144"/>
  <c r="K196" i="144"/>
  <c r="I196" i="144"/>
  <c r="H196" i="144"/>
  <c r="G196" i="144"/>
  <c r="N195" i="144"/>
  <c r="M195" i="144"/>
  <c r="L195" i="144"/>
  <c r="K195" i="144"/>
  <c r="I195" i="144"/>
  <c r="H195" i="144"/>
  <c r="G195" i="144"/>
  <c r="N194" i="144"/>
  <c r="N193" i="144" s="1"/>
  <c r="N192" i="144" s="1"/>
  <c r="M194" i="144"/>
  <c r="M193" i="144" s="1"/>
  <c r="M192" i="144" s="1"/>
  <c r="L194" i="144"/>
  <c r="I194" i="144"/>
  <c r="N191" i="144"/>
  <c r="M191" i="144"/>
  <c r="L191" i="144"/>
  <c r="K191" i="144"/>
  <c r="I191" i="144"/>
  <c r="H191" i="144"/>
  <c r="G191" i="144"/>
  <c r="F191" i="144"/>
  <c r="N190" i="144"/>
  <c r="N188" i="144" s="1"/>
  <c r="N187" i="144" s="1"/>
  <c r="M190" i="144"/>
  <c r="L190" i="144"/>
  <c r="I190" i="144"/>
  <c r="H190" i="144"/>
  <c r="G190" i="144"/>
  <c r="F190" i="144"/>
  <c r="N189" i="144"/>
  <c r="M189" i="144"/>
  <c r="L189" i="144"/>
  <c r="L188" i="144" s="1"/>
  <c r="L187" i="144" s="1"/>
  <c r="K189" i="144"/>
  <c r="I189" i="144"/>
  <c r="H189" i="144"/>
  <c r="H188" i="144" s="1"/>
  <c r="H187" i="144" s="1"/>
  <c r="N186" i="144"/>
  <c r="M186" i="144"/>
  <c r="K186" i="144"/>
  <c r="I186" i="144"/>
  <c r="H186" i="144"/>
  <c r="G186" i="144"/>
  <c r="F186" i="144"/>
  <c r="E186" i="144"/>
  <c r="N185" i="144"/>
  <c r="M185" i="144"/>
  <c r="L185" i="144"/>
  <c r="K185" i="144"/>
  <c r="I185" i="144"/>
  <c r="H185" i="144"/>
  <c r="G185" i="144"/>
  <c r="F185" i="144"/>
  <c r="N184" i="144"/>
  <c r="M184" i="144"/>
  <c r="L184" i="144"/>
  <c r="K184" i="144"/>
  <c r="K181" i="144" s="1"/>
  <c r="K180" i="144" s="1"/>
  <c r="I184" i="144"/>
  <c r="H184" i="144"/>
  <c r="G184" i="144"/>
  <c r="F184" i="144"/>
  <c r="N183" i="144"/>
  <c r="M183" i="144"/>
  <c r="K183" i="144"/>
  <c r="I183" i="144"/>
  <c r="H183" i="144"/>
  <c r="G183" i="144"/>
  <c r="F183" i="144"/>
  <c r="N182" i="144"/>
  <c r="M182" i="144"/>
  <c r="L182" i="144"/>
  <c r="K182" i="144"/>
  <c r="I182" i="144"/>
  <c r="N179" i="144"/>
  <c r="M179" i="144"/>
  <c r="L179" i="144"/>
  <c r="I179" i="144"/>
  <c r="H179" i="144"/>
  <c r="G179" i="144"/>
  <c r="F179" i="144"/>
  <c r="N178" i="144"/>
  <c r="M178" i="144"/>
  <c r="L178" i="144"/>
  <c r="I178" i="144"/>
  <c r="H178" i="144"/>
  <c r="G178" i="144"/>
  <c r="N177" i="144"/>
  <c r="M177" i="144"/>
  <c r="L177" i="144"/>
  <c r="K177" i="144"/>
  <c r="I177" i="144"/>
  <c r="H177" i="144"/>
  <c r="G177" i="144"/>
  <c r="N176" i="144"/>
  <c r="N174" i="144" s="1"/>
  <c r="N173" i="144" s="1"/>
  <c r="M176" i="144"/>
  <c r="L176" i="144"/>
  <c r="I176" i="144"/>
  <c r="H176" i="144"/>
  <c r="H174" i="144" s="1"/>
  <c r="H173" i="144" s="1"/>
  <c r="G176" i="144"/>
  <c r="N172" i="144"/>
  <c r="M172" i="144"/>
  <c r="L172" i="144"/>
  <c r="I172" i="144"/>
  <c r="H172" i="144"/>
  <c r="G172" i="144"/>
  <c r="F172" i="144"/>
  <c r="N171" i="144"/>
  <c r="M171" i="144"/>
  <c r="L171" i="144"/>
  <c r="K171" i="144"/>
  <c r="I171" i="144"/>
  <c r="H171" i="144"/>
  <c r="G171" i="144"/>
  <c r="F171" i="144"/>
  <c r="N170" i="144"/>
  <c r="M170" i="144"/>
  <c r="L170" i="144"/>
  <c r="L169" i="144" s="1"/>
  <c r="L168" i="144" s="1"/>
  <c r="I170" i="144"/>
  <c r="H170" i="144"/>
  <c r="N167" i="144"/>
  <c r="M167" i="144"/>
  <c r="L167" i="144"/>
  <c r="I167" i="144"/>
  <c r="H167" i="144"/>
  <c r="G167" i="144"/>
  <c r="F167" i="144"/>
  <c r="N166" i="144"/>
  <c r="M166" i="144"/>
  <c r="L166" i="144"/>
  <c r="I166" i="144"/>
  <c r="H166" i="144"/>
  <c r="G166" i="144"/>
  <c r="F166" i="144"/>
  <c r="N165" i="144"/>
  <c r="M165" i="144"/>
  <c r="L165" i="144"/>
  <c r="I165" i="144"/>
  <c r="H165" i="144"/>
  <c r="G165" i="144"/>
  <c r="F165" i="144"/>
  <c r="N164" i="144"/>
  <c r="M164" i="144"/>
  <c r="L164" i="144"/>
  <c r="I164" i="144"/>
  <c r="H164" i="144"/>
  <c r="G164" i="144"/>
  <c r="F164" i="144"/>
  <c r="N163" i="144"/>
  <c r="M163" i="144"/>
  <c r="L163" i="144"/>
  <c r="I163" i="144"/>
  <c r="H163" i="144"/>
  <c r="G163" i="144"/>
  <c r="F163" i="144"/>
  <c r="N162" i="144"/>
  <c r="M162" i="144"/>
  <c r="L162" i="144"/>
  <c r="K162" i="144"/>
  <c r="I162" i="144"/>
  <c r="H162" i="144"/>
  <c r="G162" i="144"/>
  <c r="N161" i="144"/>
  <c r="M161" i="144"/>
  <c r="L161" i="144"/>
  <c r="I161" i="144"/>
  <c r="N158" i="144"/>
  <c r="M158" i="144"/>
  <c r="L158" i="144"/>
  <c r="K158" i="144"/>
  <c r="I158" i="144"/>
  <c r="H158" i="144"/>
  <c r="N156" i="144"/>
  <c r="M156" i="144"/>
  <c r="K156" i="144"/>
  <c r="I156" i="144"/>
  <c r="H156" i="144"/>
  <c r="G156" i="144"/>
  <c r="F156" i="144"/>
  <c r="N155" i="144"/>
  <c r="M155" i="144"/>
  <c r="L155" i="144"/>
  <c r="I155" i="144"/>
  <c r="H155" i="144"/>
  <c r="G155" i="144"/>
  <c r="F155" i="144"/>
  <c r="N154" i="144"/>
  <c r="M154" i="144"/>
  <c r="L154" i="144"/>
  <c r="I154" i="144"/>
  <c r="H154" i="144"/>
  <c r="G154" i="144"/>
  <c r="N153" i="144"/>
  <c r="M153" i="144"/>
  <c r="L153" i="144"/>
  <c r="K153" i="144"/>
  <c r="I153" i="144"/>
  <c r="H153" i="144"/>
  <c r="G153" i="144"/>
  <c r="F153" i="144"/>
  <c r="N152" i="144"/>
  <c r="M152" i="144"/>
  <c r="L152" i="144"/>
  <c r="I152" i="144"/>
  <c r="H152" i="144"/>
  <c r="G152" i="144"/>
  <c r="N151" i="144"/>
  <c r="M151" i="144"/>
  <c r="L151" i="144"/>
  <c r="K151" i="144"/>
  <c r="I151" i="144"/>
  <c r="H151" i="144"/>
  <c r="G151" i="144"/>
  <c r="N150" i="144"/>
  <c r="M150" i="144"/>
  <c r="L150" i="144"/>
  <c r="K150" i="144"/>
  <c r="I150" i="144"/>
  <c r="H150" i="144"/>
  <c r="G150" i="144"/>
  <c r="N149" i="144"/>
  <c r="M149" i="144"/>
  <c r="L149" i="144"/>
  <c r="K149" i="144"/>
  <c r="I149" i="144"/>
  <c r="H149" i="144"/>
  <c r="G149" i="144"/>
  <c r="F149" i="144"/>
  <c r="N148" i="144"/>
  <c r="M148" i="144"/>
  <c r="L148" i="144"/>
  <c r="I148" i="144"/>
  <c r="H148" i="144"/>
  <c r="G148" i="144"/>
  <c r="F148" i="144"/>
  <c r="N147" i="144"/>
  <c r="M147" i="144"/>
  <c r="L147" i="144"/>
  <c r="I147" i="144"/>
  <c r="G147" i="144"/>
  <c r="N146" i="144"/>
  <c r="M146" i="144"/>
  <c r="L146" i="144"/>
  <c r="K146" i="144"/>
  <c r="I146" i="144"/>
  <c r="H146" i="144"/>
  <c r="G146" i="144"/>
  <c r="N145" i="144"/>
  <c r="M145" i="144"/>
  <c r="L145" i="144"/>
  <c r="I145" i="144"/>
  <c r="H145" i="144"/>
  <c r="G145" i="144"/>
  <c r="F145" i="144"/>
  <c r="N144" i="144"/>
  <c r="M144" i="144"/>
  <c r="L144" i="144"/>
  <c r="I144" i="144"/>
  <c r="H144" i="144"/>
  <c r="G144" i="144"/>
  <c r="F144" i="144"/>
  <c r="N143" i="144"/>
  <c r="M143" i="144"/>
  <c r="L143" i="144"/>
  <c r="K143" i="144"/>
  <c r="I143" i="144"/>
  <c r="H143" i="144"/>
  <c r="G143" i="144"/>
  <c r="N142" i="144"/>
  <c r="M142" i="144"/>
  <c r="L142" i="144"/>
  <c r="K142" i="144"/>
  <c r="I142" i="144"/>
  <c r="H142" i="144"/>
  <c r="G142" i="144"/>
  <c r="N141" i="144"/>
  <c r="M141" i="144"/>
  <c r="L141" i="144"/>
  <c r="I141" i="144"/>
  <c r="H141" i="144"/>
  <c r="G141" i="144"/>
  <c r="F141" i="144"/>
  <c r="N140" i="144"/>
  <c r="M140" i="144"/>
  <c r="L140" i="144"/>
  <c r="K140" i="144"/>
  <c r="I140" i="144"/>
  <c r="H140" i="144"/>
  <c r="G140" i="144"/>
  <c r="N139" i="144"/>
  <c r="M139" i="144"/>
  <c r="L139" i="144"/>
  <c r="K139" i="144"/>
  <c r="I139" i="144"/>
  <c r="N125" i="140"/>
  <c r="N136" i="144"/>
  <c r="M136" i="144"/>
  <c r="L136" i="144"/>
  <c r="K136" i="144"/>
  <c r="I136" i="144"/>
  <c r="H136" i="144"/>
  <c r="G136" i="144"/>
  <c r="N135" i="144"/>
  <c r="M135" i="144"/>
  <c r="L135" i="144"/>
  <c r="K135" i="144"/>
  <c r="I135" i="144"/>
  <c r="H135" i="144"/>
  <c r="G135" i="144"/>
  <c r="F135" i="144"/>
  <c r="N134" i="144"/>
  <c r="M134" i="144"/>
  <c r="L134" i="144"/>
  <c r="K134" i="144"/>
  <c r="I134" i="144"/>
  <c r="H134" i="144"/>
  <c r="N133" i="144"/>
  <c r="M133" i="144"/>
  <c r="L133" i="144"/>
  <c r="K133" i="144"/>
  <c r="I133" i="144"/>
  <c r="H133" i="144"/>
  <c r="G133" i="144"/>
  <c r="N132" i="144"/>
  <c r="M132" i="144"/>
  <c r="L132" i="144"/>
  <c r="K132" i="144"/>
  <c r="I132" i="144"/>
  <c r="H132" i="144"/>
  <c r="G132" i="144"/>
  <c r="N131" i="144"/>
  <c r="M131" i="144"/>
  <c r="L131" i="144"/>
  <c r="K131" i="144"/>
  <c r="I131" i="144"/>
  <c r="H131" i="144"/>
  <c r="G131" i="144"/>
  <c r="M130" i="144"/>
  <c r="L130" i="144"/>
  <c r="I130" i="144"/>
  <c r="N129" i="144"/>
  <c r="M129" i="144"/>
  <c r="L129" i="144"/>
  <c r="K129" i="144"/>
  <c r="I129" i="144"/>
  <c r="H129" i="144"/>
  <c r="G129" i="144"/>
  <c r="N128" i="144"/>
  <c r="M128" i="144"/>
  <c r="L128" i="144"/>
  <c r="K128" i="144"/>
  <c r="I128" i="144"/>
  <c r="H128" i="144"/>
  <c r="G128" i="144"/>
  <c r="N127" i="144"/>
  <c r="M127" i="144"/>
  <c r="L127" i="144"/>
  <c r="K127" i="144"/>
  <c r="I127" i="144"/>
  <c r="H127" i="144"/>
  <c r="G127" i="144"/>
  <c r="N126" i="144"/>
  <c r="M126" i="144"/>
  <c r="L126" i="144"/>
  <c r="I126" i="144"/>
  <c r="G126" i="144"/>
  <c r="N125" i="144"/>
  <c r="L125" i="144"/>
  <c r="I125" i="144"/>
  <c r="N124" i="144"/>
  <c r="M124" i="144"/>
  <c r="L124" i="144"/>
  <c r="K124" i="144"/>
  <c r="I124" i="144"/>
  <c r="H124" i="144"/>
  <c r="G124" i="144"/>
  <c r="N123" i="144"/>
  <c r="M123" i="144"/>
  <c r="L123" i="144"/>
  <c r="L122" i="144" s="1"/>
  <c r="L121" i="144" s="1"/>
  <c r="I123" i="144"/>
  <c r="H123" i="144"/>
  <c r="N120" i="144"/>
  <c r="M120" i="144"/>
  <c r="L120" i="144"/>
  <c r="I120" i="144"/>
  <c r="H120" i="144"/>
  <c r="G120" i="144"/>
  <c r="F120" i="144"/>
  <c r="N119" i="144"/>
  <c r="M119" i="144"/>
  <c r="L119" i="144"/>
  <c r="K119" i="144"/>
  <c r="I119" i="144"/>
  <c r="H119" i="144"/>
  <c r="G119" i="144"/>
  <c r="N118" i="144"/>
  <c r="M118" i="144"/>
  <c r="L118" i="144"/>
  <c r="K118" i="144"/>
  <c r="I118" i="144"/>
  <c r="H118" i="144"/>
  <c r="G118" i="144"/>
  <c r="N117" i="144"/>
  <c r="M117" i="144"/>
  <c r="L117" i="144"/>
  <c r="I117" i="144"/>
  <c r="G117" i="144"/>
  <c r="N116" i="144"/>
  <c r="M116" i="144"/>
  <c r="L116" i="144"/>
  <c r="I116" i="144"/>
  <c r="G116" i="144"/>
  <c r="F116" i="144"/>
  <c r="N115" i="144"/>
  <c r="N112" i="144" s="1"/>
  <c r="N111" i="144" s="1"/>
  <c r="M115" i="144"/>
  <c r="L115" i="144"/>
  <c r="K115" i="144"/>
  <c r="I115" i="144"/>
  <c r="H115" i="144"/>
  <c r="G115" i="144"/>
  <c r="N114" i="144"/>
  <c r="M114" i="144"/>
  <c r="L114" i="144"/>
  <c r="K114" i="144"/>
  <c r="I114" i="144"/>
  <c r="H114" i="144"/>
  <c r="G114" i="144"/>
  <c r="F114" i="144"/>
  <c r="N113" i="144"/>
  <c r="M113" i="144"/>
  <c r="L113" i="144"/>
  <c r="L112" i="144" s="1"/>
  <c r="L111" i="144" s="1"/>
  <c r="I113" i="144"/>
  <c r="N109" i="144"/>
  <c r="M109" i="144"/>
  <c r="K109" i="144"/>
  <c r="I109" i="144"/>
  <c r="H109" i="144"/>
  <c r="G109" i="144"/>
  <c r="F109" i="144"/>
  <c r="N108" i="144"/>
  <c r="M108" i="144"/>
  <c r="L108" i="144"/>
  <c r="I108" i="144"/>
  <c r="H108" i="144"/>
  <c r="G108" i="144"/>
  <c r="F108" i="144"/>
  <c r="N107" i="144"/>
  <c r="M107" i="144"/>
  <c r="L107" i="144"/>
  <c r="K107" i="144"/>
  <c r="I107" i="144"/>
  <c r="H107" i="144"/>
  <c r="G107" i="144"/>
  <c r="F107" i="144"/>
  <c r="N106" i="144"/>
  <c r="M106" i="144"/>
  <c r="L106" i="144"/>
  <c r="I106" i="144"/>
  <c r="H106" i="144"/>
  <c r="G106" i="144"/>
  <c r="F106" i="144"/>
  <c r="N105" i="144"/>
  <c r="M105" i="144"/>
  <c r="L105" i="144"/>
  <c r="I105" i="144"/>
  <c r="H105" i="144"/>
  <c r="G105" i="144"/>
  <c r="I104" i="144"/>
  <c r="L104" i="144"/>
  <c r="M104" i="144"/>
  <c r="N104" i="144"/>
  <c r="N101" i="144"/>
  <c r="M101" i="144"/>
  <c r="L101" i="144"/>
  <c r="K101" i="144"/>
  <c r="I101" i="144"/>
  <c r="H101" i="144"/>
  <c r="G101" i="144"/>
  <c r="N98" i="144"/>
  <c r="M98" i="144"/>
  <c r="L98" i="144"/>
  <c r="K98" i="144"/>
  <c r="I98" i="144"/>
  <c r="H98" i="144"/>
  <c r="G98" i="144"/>
  <c r="F98" i="144"/>
  <c r="N94" i="144"/>
  <c r="M94" i="144"/>
  <c r="L94" i="144"/>
  <c r="K94" i="144"/>
  <c r="I94" i="144"/>
  <c r="H94" i="144"/>
  <c r="G94" i="144"/>
  <c r="F94" i="144"/>
  <c r="N91" i="144"/>
  <c r="M91" i="144"/>
  <c r="L91" i="144"/>
  <c r="K91" i="144"/>
  <c r="I91" i="144"/>
  <c r="H91" i="144"/>
  <c r="G91" i="144"/>
  <c r="F91" i="144"/>
  <c r="N90" i="144"/>
  <c r="M90" i="144"/>
  <c r="L90" i="144"/>
  <c r="K90" i="144"/>
  <c r="I90" i="144"/>
  <c r="H90" i="144"/>
  <c r="N89" i="144"/>
  <c r="M89" i="144"/>
  <c r="L89" i="144"/>
  <c r="K89" i="144"/>
  <c r="I89" i="144"/>
  <c r="H89" i="144"/>
  <c r="G89" i="144"/>
  <c r="N88" i="144"/>
  <c r="M88" i="144"/>
  <c r="L88" i="144"/>
  <c r="K88" i="144"/>
  <c r="I88" i="144"/>
  <c r="H88" i="144"/>
  <c r="G88" i="144"/>
  <c r="F88" i="144"/>
  <c r="N87" i="144"/>
  <c r="M87" i="144"/>
  <c r="L87" i="144"/>
  <c r="K87" i="144"/>
  <c r="I87" i="144"/>
  <c r="H87" i="144"/>
  <c r="G87" i="144"/>
  <c r="F87" i="144"/>
  <c r="N86" i="144"/>
  <c r="M86" i="144"/>
  <c r="L86" i="144"/>
  <c r="K86" i="144"/>
  <c r="I86" i="144"/>
  <c r="H86" i="144"/>
  <c r="G86" i="144"/>
  <c r="F86" i="144"/>
  <c r="N85" i="144"/>
  <c r="M85" i="144"/>
  <c r="L85" i="144"/>
  <c r="K85" i="144"/>
  <c r="I85" i="144"/>
  <c r="H85" i="144"/>
  <c r="G85" i="144"/>
  <c r="N84" i="144"/>
  <c r="M84" i="144"/>
  <c r="L84" i="144"/>
  <c r="K84" i="144"/>
  <c r="I84" i="144"/>
  <c r="N83" i="144"/>
  <c r="M83" i="144"/>
  <c r="L83" i="144"/>
  <c r="I83" i="144"/>
  <c r="N82" i="144"/>
  <c r="M82" i="144"/>
  <c r="L82" i="144"/>
  <c r="K82" i="144"/>
  <c r="I82" i="144"/>
  <c r="H82" i="144"/>
  <c r="G82" i="144"/>
  <c r="N81" i="144"/>
  <c r="M81" i="144"/>
  <c r="L81" i="144"/>
  <c r="K81" i="144"/>
  <c r="I81" i="144"/>
  <c r="H81" i="144"/>
  <c r="G81" i="144"/>
  <c r="N79" i="144"/>
  <c r="M79" i="144"/>
  <c r="L79" i="144"/>
  <c r="K79" i="144"/>
  <c r="I79" i="144"/>
  <c r="H79" i="144"/>
  <c r="G79" i="144"/>
  <c r="F79" i="144"/>
  <c r="N78" i="144"/>
  <c r="M78" i="144"/>
  <c r="L78" i="144"/>
  <c r="K78" i="144"/>
  <c r="I78" i="144"/>
  <c r="H78" i="144"/>
  <c r="G78" i="144"/>
  <c r="N77" i="144"/>
  <c r="M77" i="144"/>
  <c r="L77" i="144"/>
  <c r="K77" i="144"/>
  <c r="I77" i="144"/>
  <c r="H77" i="144"/>
  <c r="G77" i="144"/>
  <c r="N76" i="144"/>
  <c r="M76" i="144"/>
  <c r="L76" i="144"/>
  <c r="K76" i="144"/>
  <c r="I76" i="144"/>
  <c r="H76" i="144"/>
  <c r="G76" i="144"/>
  <c r="N75" i="144"/>
  <c r="M75" i="144"/>
  <c r="L75" i="144"/>
  <c r="K75" i="144"/>
  <c r="I75" i="144"/>
  <c r="H75" i="144"/>
  <c r="G75" i="144"/>
  <c r="F75" i="144"/>
  <c r="N74" i="144"/>
  <c r="M74" i="144"/>
  <c r="L74" i="144"/>
  <c r="K74" i="144"/>
  <c r="I74" i="144"/>
  <c r="H74" i="144"/>
  <c r="G74" i="144"/>
  <c r="F74" i="144"/>
  <c r="N73" i="144"/>
  <c r="M73" i="144"/>
  <c r="L73" i="144"/>
  <c r="K73" i="144"/>
  <c r="I73" i="144"/>
  <c r="H73" i="144"/>
  <c r="G73" i="144"/>
  <c r="F73" i="144"/>
  <c r="N72" i="144"/>
  <c r="M72" i="144"/>
  <c r="L72" i="144"/>
  <c r="K72" i="144"/>
  <c r="I72" i="144"/>
  <c r="H72" i="144"/>
  <c r="G72" i="144"/>
  <c r="N71" i="144"/>
  <c r="M71" i="144"/>
  <c r="L71" i="144"/>
  <c r="K71" i="144"/>
  <c r="I71" i="144"/>
  <c r="H71" i="144"/>
  <c r="G71" i="144"/>
  <c r="F71" i="144"/>
  <c r="N70" i="144"/>
  <c r="M70" i="144"/>
  <c r="L70" i="144"/>
  <c r="K70" i="144"/>
  <c r="I70" i="144"/>
  <c r="H70" i="144"/>
  <c r="G70" i="144"/>
  <c r="F70" i="144"/>
  <c r="N69" i="144"/>
  <c r="M69" i="144"/>
  <c r="L69" i="144"/>
  <c r="K69" i="144"/>
  <c r="I69" i="144"/>
  <c r="H69" i="144"/>
  <c r="G69" i="144"/>
  <c r="F69" i="144"/>
  <c r="N68" i="144"/>
  <c r="M68" i="144"/>
  <c r="L68" i="144"/>
  <c r="K68" i="144"/>
  <c r="I68" i="144"/>
  <c r="H68" i="144"/>
  <c r="G68" i="144"/>
  <c r="F68" i="144"/>
  <c r="N67" i="144"/>
  <c r="M67" i="144"/>
  <c r="L67" i="144"/>
  <c r="K67" i="144"/>
  <c r="I67" i="144"/>
  <c r="H67" i="144"/>
  <c r="G67" i="144"/>
  <c r="N66" i="144"/>
  <c r="M66" i="144"/>
  <c r="L66" i="144"/>
  <c r="K66" i="144"/>
  <c r="I66" i="144"/>
  <c r="H66" i="144"/>
  <c r="G66" i="144"/>
  <c r="N65" i="144"/>
  <c r="M65" i="144"/>
  <c r="L65" i="144"/>
  <c r="K65" i="144"/>
  <c r="I65" i="144"/>
  <c r="H65" i="144"/>
  <c r="G65" i="144"/>
  <c r="F65" i="144"/>
  <c r="N64" i="144"/>
  <c r="M64" i="144"/>
  <c r="L64" i="144"/>
  <c r="K64" i="144"/>
  <c r="I64" i="144"/>
  <c r="H64" i="144"/>
  <c r="G64" i="144"/>
  <c r="N63" i="144"/>
  <c r="M63" i="144"/>
  <c r="L63" i="144"/>
  <c r="K63" i="144"/>
  <c r="I63" i="144"/>
  <c r="H63" i="144"/>
  <c r="G63" i="144"/>
  <c r="F63" i="144"/>
  <c r="N62" i="144"/>
  <c r="M62" i="144"/>
  <c r="L62" i="144"/>
  <c r="K62" i="144"/>
  <c r="I62" i="144"/>
  <c r="H62" i="144"/>
  <c r="G62" i="144"/>
  <c r="F62" i="144"/>
  <c r="N61" i="144"/>
  <c r="M61" i="144"/>
  <c r="L61" i="144"/>
  <c r="K61" i="144"/>
  <c r="I61" i="144"/>
  <c r="H61" i="144"/>
  <c r="G61" i="144"/>
  <c r="N60" i="144"/>
  <c r="M60" i="144"/>
  <c r="L60" i="144"/>
  <c r="K60" i="144"/>
  <c r="I60" i="144"/>
  <c r="H60" i="144"/>
  <c r="G60" i="144"/>
  <c r="N59" i="144"/>
  <c r="M59" i="144"/>
  <c r="L59" i="144"/>
  <c r="K59" i="144"/>
  <c r="I59" i="144"/>
  <c r="H59" i="144"/>
  <c r="G59" i="144"/>
  <c r="N58" i="144"/>
  <c r="M58" i="144"/>
  <c r="L58" i="144"/>
  <c r="K58" i="144"/>
  <c r="I58" i="144"/>
  <c r="H58" i="144"/>
  <c r="G58" i="144"/>
  <c r="F58" i="144"/>
  <c r="N57" i="144"/>
  <c r="M57" i="144"/>
  <c r="L57" i="144"/>
  <c r="K57" i="144"/>
  <c r="I57" i="144"/>
  <c r="H57" i="144"/>
  <c r="G57" i="144"/>
  <c r="F57" i="144"/>
  <c r="N56" i="144"/>
  <c r="M56" i="144"/>
  <c r="L56" i="144"/>
  <c r="K56" i="144"/>
  <c r="I56" i="144"/>
  <c r="H56" i="144"/>
  <c r="G56" i="144"/>
  <c r="N55" i="144"/>
  <c r="M55" i="144"/>
  <c r="L55" i="144"/>
  <c r="I55" i="144"/>
  <c r="N52" i="144"/>
  <c r="M52" i="144"/>
  <c r="L52" i="144"/>
  <c r="I52" i="144"/>
  <c r="H52" i="144"/>
  <c r="G52" i="144"/>
  <c r="N51" i="144"/>
  <c r="M51" i="144"/>
  <c r="L51" i="144"/>
  <c r="I51" i="144"/>
  <c r="H51" i="144"/>
  <c r="G51" i="144"/>
  <c r="F51" i="144"/>
  <c r="N50" i="144"/>
  <c r="M50" i="144"/>
  <c r="L50" i="144"/>
  <c r="K50" i="144"/>
  <c r="I50" i="144"/>
  <c r="H50" i="144"/>
  <c r="G50" i="144"/>
  <c r="N49" i="144"/>
  <c r="M49" i="144"/>
  <c r="L49" i="144"/>
  <c r="I49" i="144"/>
  <c r="N48" i="144"/>
  <c r="M48" i="144"/>
  <c r="L48" i="144"/>
  <c r="K48" i="144"/>
  <c r="I48" i="144"/>
  <c r="H48" i="144"/>
  <c r="G48" i="144"/>
  <c r="N47" i="144"/>
  <c r="M47" i="144"/>
  <c r="L47" i="144"/>
  <c r="K47" i="144"/>
  <c r="I47" i="144"/>
  <c r="H47" i="144"/>
  <c r="G47" i="144"/>
  <c r="N46" i="144"/>
  <c r="M46" i="144"/>
  <c r="L46" i="144"/>
  <c r="K46" i="144"/>
  <c r="I46" i="144"/>
  <c r="H46" i="144"/>
  <c r="G46" i="144"/>
  <c r="N45" i="144"/>
  <c r="M45" i="144"/>
  <c r="I45" i="144"/>
  <c r="H45" i="144"/>
  <c r="G45" i="144"/>
  <c r="N44" i="144"/>
  <c r="M44" i="144"/>
  <c r="I44" i="144"/>
  <c r="H44" i="144"/>
  <c r="G44" i="144"/>
  <c r="N43" i="144"/>
  <c r="M43" i="144"/>
  <c r="K43" i="144"/>
  <c r="I43" i="144"/>
  <c r="H43" i="144"/>
  <c r="G43" i="144"/>
  <c r="N42" i="144"/>
  <c r="M42" i="144"/>
  <c r="I42" i="144"/>
  <c r="H42" i="144"/>
  <c r="G42" i="144"/>
  <c r="N41" i="144"/>
  <c r="M41" i="144"/>
  <c r="L41" i="144"/>
  <c r="K41" i="144"/>
  <c r="I41" i="144"/>
  <c r="H41" i="144"/>
  <c r="N38" i="144"/>
  <c r="M38" i="144"/>
  <c r="L38" i="144"/>
  <c r="I38" i="144"/>
  <c r="H38" i="144"/>
  <c r="G38" i="144"/>
  <c r="N37" i="144"/>
  <c r="M37" i="144"/>
  <c r="L37" i="144"/>
  <c r="I37" i="144"/>
  <c r="H37" i="144"/>
  <c r="G37" i="144"/>
  <c r="F37" i="144"/>
  <c r="N36" i="144"/>
  <c r="M36" i="144"/>
  <c r="L36" i="144"/>
  <c r="K36" i="144"/>
  <c r="I36" i="144"/>
  <c r="H36" i="144"/>
  <c r="G36" i="144"/>
  <c r="F36" i="144"/>
  <c r="N35" i="144"/>
  <c r="M35" i="144"/>
  <c r="L35" i="144"/>
  <c r="K35" i="144"/>
  <c r="I35" i="144"/>
  <c r="H35" i="144"/>
  <c r="N34" i="144"/>
  <c r="M34" i="144"/>
  <c r="L34" i="144"/>
  <c r="K34" i="144"/>
  <c r="I34" i="144"/>
  <c r="H34" i="144"/>
  <c r="G34" i="144"/>
  <c r="N33" i="144"/>
  <c r="M33" i="144"/>
  <c r="L33" i="144"/>
  <c r="I33" i="144"/>
  <c r="N32" i="144"/>
  <c r="M32" i="144"/>
  <c r="L32" i="144"/>
  <c r="K32" i="144"/>
  <c r="I32" i="144"/>
  <c r="H32" i="144"/>
  <c r="I31" i="144"/>
  <c r="N30" i="144"/>
  <c r="I30" i="144"/>
  <c r="N29" i="144"/>
  <c r="M29" i="144"/>
  <c r="L29" i="144"/>
  <c r="I29" i="144"/>
  <c r="I28" i="144"/>
  <c r="N27" i="144"/>
  <c r="I27" i="144"/>
  <c r="N24" i="144"/>
  <c r="M24" i="144"/>
  <c r="L24" i="144"/>
  <c r="I24" i="144"/>
  <c r="H24" i="144"/>
  <c r="G24" i="144"/>
  <c r="N23" i="144"/>
  <c r="M23" i="144"/>
  <c r="L23" i="144"/>
  <c r="K23" i="144"/>
  <c r="I23" i="144"/>
  <c r="H23" i="144"/>
  <c r="G23" i="144"/>
  <c r="F23" i="144"/>
  <c r="N22" i="144"/>
  <c r="M22" i="144"/>
  <c r="L22" i="144"/>
  <c r="K22" i="144"/>
  <c r="I22" i="144"/>
  <c r="H22" i="144"/>
  <c r="G22" i="144"/>
  <c r="F22" i="144"/>
  <c r="N21" i="144"/>
  <c r="M21" i="144"/>
  <c r="L21" i="144"/>
  <c r="K21" i="144"/>
  <c r="I21" i="144"/>
  <c r="H21" i="144"/>
  <c r="G21" i="144"/>
  <c r="N19" i="144"/>
  <c r="M19" i="144"/>
  <c r="K19" i="144"/>
  <c r="I19" i="144"/>
  <c r="H19" i="144"/>
  <c r="G19" i="144"/>
  <c r="F19" i="144"/>
  <c r="N18" i="144"/>
  <c r="M18" i="144"/>
  <c r="L18" i="144"/>
  <c r="K18" i="144"/>
  <c r="I18" i="144"/>
  <c r="H18" i="144"/>
  <c r="G18" i="144"/>
  <c r="N17" i="144"/>
  <c r="M17" i="144"/>
  <c r="L17" i="144"/>
  <c r="I17" i="144"/>
  <c r="H17" i="144"/>
  <c r="F17" i="144"/>
  <c r="N16" i="144"/>
  <c r="M16" i="144"/>
  <c r="L16" i="144"/>
  <c r="K16" i="144"/>
  <c r="I16" i="144"/>
  <c r="H16" i="144"/>
  <c r="G16" i="144"/>
  <c r="I15" i="144"/>
  <c r="L15" i="144"/>
  <c r="M15" i="144"/>
  <c r="M14" i="144" s="1"/>
  <c r="M13" i="144" s="1"/>
  <c r="N15" i="144"/>
  <c r="L193" i="144"/>
  <c r="L192" i="144" s="1"/>
  <c r="M188" i="144"/>
  <c r="M187" i="144" s="1"/>
  <c r="N181" i="144"/>
  <c r="N180" i="144" s="1"/>
  <c r="L174" i="144"/>
  <c r="L173" i="144" s="1"/>
  <c r="O175" i="144"/>
  <c r="J175" i="144" s="1"/>
  <c r="K175" i="144"/>
  <c r="E175" i="144"/>
  <c r="N169" i="144"/>
  <c r="N168" i="144" s="1"/>
  <c r="H169" i="144"/>
  <c r="H168" i="144" s="1"/>
  <c r="M169" i="144"/>
  <c r="M168" i="144" s="1"/>
  <c r="L160" i="144"/>
  <c r="L159" i="144" s="1"/>
  <c r="M40" i="144"/>
  <c r="M39" i="144" s="1"/>
  <c r="P39" i="145" l="1"/>
  <c r="Q40" i="145"/>
  <c r="P54" i="145"/>
  <c r="Q181" i="145"/>
  <c r="P180" i="145"/>
  <c r="J25" i="145"/>
  <c r="P26" i="145"/>
  <c r="Q112" i="145"/>
  <c r="P111" i="145"/>
  <c r="Q160" i="145"/>
  <c r="P159" i="145"/>
  <c r="P13" i="145"/>
  <c r="Q14" i="145"/>
  <c r="J121" i="145"/>
  <c r="P122" i="145"/>
  <c r="Q138" i="145"/>
  <c r="P137" i="145"/>
  <c r="P193" i="145"/>
  <c r="J198" i="145"/>
  <c r="J168" i="145"/>
  <c r="P169" i="145"/>
  <c r="P175" i="144"/>
  <c r="N40" i="144"/>
  <c r="N39" i="144" s="1"/>
  <c r="I188" i="144"/>
  <c r="I187" i="144" s="1"/>
  <c r="I14" i="144"/>
  <c r="I13" i="144" s="1"/>
  <c r="I40" i="144"/>
  <c r="I39" i="144" s="1"/>
  <c r="N138" i="144"/>
  <c r="N137" i="144" s="1"/>
  <c r="I112" i="144"/>
  <c r="I111" i="144" s="1"/>
  <c r="M160" i="144"/>
  <c r="M159" i="144" s="1"/>
  <c r="G174" i="144"/>
  <c r="G173" i="144" s="1"/>
  <c r="I122" i="144"/>
  <c r="I121" i="144" s="1"/>
  <c r="M138" i="144"/>
  <c r="M137" i="144" s="1"/>
  <c r="N54" i="144"/>
  <c r="N53" i="144" s="1"/>
  <c r="I138" i="144"/>
  <c r="I137" i="144" s="1"/>
  <c r="I26" i="144"/>
  <c r="I25" i="144" s="1"/>
  <c r="M112" i="144"/>
  <c r="M111" i="144" s="1"/>
  <c r="I160" i="144"/>
  <c r="I159" i="144" s="1"/>
  <c r="I169" i="144"/>
  <c r="I168" i="144" s="1"/>
  <c r="M54" i="144"/>
  <c r="M53" i="144" s="1"/>
  <c r="I54" i="144"/>
  <c r="I53" i="144" s="1"/>
  <c r="N160" i="144"/>
  <c r="N159" i="144" s="1"/>
  <c r="N14" i="144"/>
  <c r="N13" i="144" s="1"/>
  <c r="I181" i="144"/>
  <c r="I180" i="144" s="1"/>
  <c r="M181" i="144"/>
  <c r="M180" i="144" s="1"/>
  <c r="I193" i="144"/>
  <c r="I192" i="144" s="1"/>
  <c r="M174" i="144"/>
  <c r="M173" i="144" s="1"/>
  <c r="I174" i="144"/>
  <c r="I173" i="144" s="1"/>
  <c r="J193" i="125"/>
  <c r="I193" i="125"/>
  <c r="J184" i="125"/>
  <c r="I184" i="125"/>
  <c r="N197" i="142"/>
  <c r="M197" i="142"/>
  <c r="L197" i="142"/>
  <c r="K197" i="142"/>
  <c r="I197" i="142"/>
  <c r="H197" i="142"/>
  <c r="G197" i="142"/>
  <c r="F197" i="142"/>
  <c r="N196" i="142"/>
  <c r="M196" i="142"/>
  <c r="L196" i="142"/>
  <c r="K196" i="142"/>
  <c r="I196" i="142"/>
  <c r="H196" i="142"/>
  <c r="G196" i="142"/>
  <c r="N195" i="142"/>
  <c r="M195" i="142"/>
  <c r="L195" i="142"/>
  <c r="K195" i="142"/>
  <c r="I195" i="142"/>
  <c r="H195" i="142"/>
  <c r="G195" i="142"/>
  <c r="N194" i="142"/>
  <c r="M194" i="142"/>
  <c r="L194" i="142"/>
  <c r="I194" i="142"/>
  <c r="N191" i="142"/>
  <c r="M191" i="142"/>
  <c r="L191" i="142"/>
  <c r="K191" i="142"/>
  <c r="I191" i="142"/>
  <c r="H191" i="142"/>
  <c r="G191" i="142"/>
  <c r="F191" i="142"/>
  <c r="N190" i="142"/>
  <c r="M190" i="142"/>
  <c r="L190" i="142"/>
  <c r="L188" i="142" s="1"/>
  <c r="I190" i="142"/>
  <c r="H190" i="142"/>
  <c r="G190" i="142"/>
  <c r="F190" i="142"/>
  <c r="N189" i="142"/>
  <c r="M189" i="142"/>
  <c r="L189" i="142"/>
  <c r="K189" i="142"/>
  <c r="I189" i="142"/>
  <c r="I188" i="142" s="1"/>
  <c r="I187" i="142" s="1"/>
  <c r="H189" i="142"/>
  <c r="N186" i="142"/>
  <c r="M186" i="142"/>
  <c r="K186" i="142"/>
  <c r="I186" i="142"/>
  <c r="H186" i="142"/>
  <c r="G186" i="142"/>
  <c r="F186" i="142"/>
  <c r="E186" i="142"/>
  <c r="N185" i="142"/>
  <c r="M185" i="142"/>
  <c r="L185" i="142"/>
  <c r="K185" i="142"/>
  <c r="I185" i="142"/>
  <c r="H185" i="142"/>
  <c r="G185" i="142"/>
  <c r="F185" i="142"/>
  <c r="N184" i="142"/>
  <c r="M184" i="142"/>
  <c r="L184" i="142"/>
  <c r="K184" i="142"/>
  <c r="I184" i="142"/>
  <c r="H184" i="142"/>
  <c r="G184" i="142"/>
  <c r="F184" i="142"/>
  <c r="N179" i="142"/>
  <c r="M179" i="142"/>
  <c r="L179" i="142"/>
  <c r="I179" i="142"/>
  <c r="H179" i="142"/>
  <c r="G179" i="142"/>
  <c r="F179" i="142"/>
  <c r="N178" i="142"/>
  <c r="M178" i="142"/>
  <c r="L178" i="142"/>
  <c r="I178" i="142"/>
  <c r="H178" i="142"/>
  <c r="G178" i="142"/>
  <c r="N177" i="142"/>
  <c r="N174" i="142" s="1"/>
  <c r="N173" i="142" s="1"/>
  <c r="M177" i="142"/>
  <c r="L177" i="142"/>
  <c r="K177" i="142"/>
  <c r="I177" i="142"/>
  <c r="H177" i="142"/>
  <c r="H174" i="142" s="1"/>
  <c r="H173" i="142" s="1"/>
  <c r="G177" i="142"/>
  <c r="N176" i="142"/>
  <c r="M176" i="142"/>
  <c r="L176" i="142"/>
  <c r="I176" i="142"/>
  <c r="H176" i="142"/>
  <c r="G176" i="142"/>
  <c r="G174" i="142" s="1"/>
  <c r="G173" i="142" s="1"/>
  <c r="F162" i="97"/>
  <c r="N136" i="142"/>
  <c r="M136" i="142"/>
  <c r="L136" i="142"/>
  <c r="K136" i="142"/>
  <c r="I136" i="142"/>
  <c r="H136" i="142"/>
  <c r="G136" i="142"/>
  <c r="N135" i="142"/>
  <c r="M135" i="142"/>
  <c r="L135" i="142"/>
  <c r="K135" i="142"/>
  <c r="I135" i="142"/>
  <c r="H135" i="142"/>
  <c r="G135" i="142"/>
  <c r="F135" i="142"/>
  <c r="N134" i="142"/>
  <c r="M134" i="142"/>
  <c r="L134" i="142"/>
  <c r="K134" i="142"/>
  <c r="I134" i="142"/>
  <c r="H134" i="142"/>
  <c r="N133" i="142"/>
  <c r="M133" i="142"/>
  <c r="L133" i="142"/>
  <c r="K133" i="142"/>
  <c r="I133" i="142"/>
  <c r="H133" i="142"/>
  <c r="G133" i="142"/>
  <c r="N132" i="142"/>
  <c r="M132" i="142"/>
  <c r="L132" i="142"/>
  <c r="K132" i="142"/>
  <c r="I132" i="142"/>
  <c r="H132" i="142"/>
  <c r="G132" i="142"/>
  <c r="N131" i="142"/>
  <c r="M131" i="142"/>
  <c r="L131" i="142"/>
  <c r="K131" i="142"/>
  <c r="I131" i="142"/>
  <c r="H131" i="142"/>
  <c r="G131" i="142"/>
  <c r="M130" i="142"/>
  <c r="L130" i="142"/>
  <c r="I130" i="142"/>
  <c r="N129" i="142"/>
  <c r="M129" i="142"/>
  <c r="L129" i="142"/>
  <c r="K129" i="142"/>
  <c r="I129" i="142"/>
  <c r="H129" i="142"/>
  <c r="G129" i="142"/>
  <c r="N128" i="142"/>
  <c r="M128" i="142"/>
  <c r="L128" i="142"/>
  <c r="K128" i="142"/>
  <c r="I128" i="142"/>
  <c r="H128" i="142"/>
  <c r="G128" i="142"/>
  <c r="N127" i="142"/>
  <c r="M127" i="142"/>
  <c r="L127" i="142"/>
  <c r="K127" i="142"/>
  <c r="I127" i="142"/>
  <c r="H127" i="142"/>
  <c r="G127" i="142"/>
  <c r="N126" i="142"/>
  <c r="M126" i="142"/>
  <c r="L126" i="142"/>
  <c r="I126" i="142"/>
  <c r="G126" i="142"/>
  <c r="N125" i="142"/>
  <c r="L125" i="142"/>
  <c r="I125" i="142"/>
  <c r="N124" i="142"/>
  <c r="M124" i="142"/>
  <c r="L124" i="142"/>
  <c r="K124" i="142"/>
  <c r="I124" i="142"/>
  <c r="H124" i="142"/>
  <c r="G124" i="142"/>
  <c r="N123" i="142"/>
  <c r="M123" i="142"/>
  <c r="L123" i="142"/>
  <c r="I123" i="142"/>
  <c r="H123" i="142"/>
  <c r="N120" i="142"/>
  <c r="M120" i="142"/>
  <c r="L120" i="142"/>
  <c r="I120" i="142"/>
  <c r="H120" i="142"/>
  <c r="G120" i="142"/>
  <c r="F120" i="142"/>
  <c r="N119" i="142"/>
  <c r="M119" i="142"/>
  <c r="L119" i="142"/>
  <c r="K119" i="142"/>
  <c r="I119" i="142"/>
  <c r="H119" i="142"/>
  <c r="G119" i="142"/>
  <c r="N118" i="142"/>
  <c r="M118" i="142"/>
  <c r="L118" i="142"/>
  <c r="K118" i="142"/>
  <c r="I118" i="142"/>
  <c r="H118" i="142"/>
  <c r="G118" i="142"/>
  <c r="N117" i="142"/>
  <c r="M117" i="142"/>
  <c r="L117" i="142"/>
  <c r="I117" i="142"/>
  <c r="G117" i="142"/>
  <c r="N116" i="142"/>
  <c r="M116" i="142"/>
  <c r="L116" i="142"/>
  <c r="I116" i="142"/>
  <c r="G116" i="142"/>
  <c r="F116" i="142"/>
  <c r="N115" i="142"/>
  <c r="M115" i="142"/>
  <c r="L115" i="142"/>
  <c r="K115" i="142"/>
  <c r="I115" i="142"/>
  <c r="I112" i="142" s="1"/>
  <c r="I111" i="142" s="1"/>
  <c r="H115" i="142"/>
  <c r="G115" i="142"/>
  <c r="N114" i="142"/>
  <c r="M114" i="142"/>
  <c r="L114" i="142"/>
  <c r="K114" i="142"/>
  <c r="I114" i="142"/>
  <c r="H114" i="142"/>
  <c r="G114" i="142"/>
  <c r="F114" i="142"/>
  <c r="N113" i="142"/>
  <c r="M113" i="142"/>
  <c r="L113" i="142"/>
  <c r="I113" i="142"/>
  <c r="N109" i="142"/>
  <c r="M109" i="142"/>
  <c r="K109" i="142"/>
  <c r="I109" i="142"/>
  <c r="H109" i="142"/>
  <c r="G109" i="142"/>
  <c r="F109" i="142"/>
  <c r="N108" i="142"/>
  <c r="M108" i="142"/>
  <c r="L108" i="142"/>
  <c r="I108" i="142"/>
  <c r="H108" i="142"/>
  <c r="G108" i="142"/>
  <c r="F108" i="142"/>
  <c r="N107" i="142"/>
  <c r="M107" i="142"/>
  <c r="L107" i="142"/>
  <c r="K107" i="142"/>
  <c r="I107" i="142"/>
  <c r="H107" i="142"/>
  <c r="G107" i="142"/>
  <c r="F107" i="142"/>
  <c r="N106" i="142"/>
  <c r="M106" i="142"/>
  <c r="L106" i="142"/>
  <c r="I106" i="142"/>
  <c r="H106" i="142"/>
  <c r="G106" i="142"/>
  <c r="F106" i="142"/>
  <c r="N105" i="142"/>
  <c r="M105" i="142"/>
  <c r="L105" i="142"/>
  <c r="I105" i="142"/>
  <c r="H105" i="142"/>
  <c r="G105" i="142"/>
  <c r="N104" i="142"/>
  <c r="M104" i="142"/>
  <c r="L104" i="142"/>
  <c r="I104" i="142"/>
  <c r="N101" i="142"/>
  <c r="M101" i="142"/>
  <c r="L101" i="142"/>
  <c r="K101" i="142"/>
  <c r="I101" i="142"/>
  <c r="H101" i="142"/>
  <c r="G101" i="142"/>
  <c r="N98" i="142"/>
  <c r="M98" i="142"/>
  <c r="L98" i="142"/>
  <c r="K98" i="142"/>
  <c r="I98" i="142"/>
  <c r="H98" i="142"/>
  <c r="G98" i="142"/>
  <c r="F98" i="142"/>
  <c r="N94" i="142"/>
  <c r="M94" i="142"/>
  <c r="L94" i="142"/>
  <c r="K94" i="142"/>
  <c r="I94" i="142"/>
  <c r="H94" i="142"/>
  <c r="G94" i="142"/>
  <c r="F94" i="142"/>
  <c r="N91" i="142"/>
  <c r="M91" i="142"/>
  <c r="L91" i="142"/>
  <c r="K91" i="142"/>
  <c r="I91" i="142"/>
  <c r="H91" i="142"/>
  <c r="G91" i="142"/>
  <c r="F91" i="142"/>
  <c r="N90" i="142"/>
  <c r="M90" i="142"/>
  <c r="L90" i="142"/>
  <c r="K90" i="142"/>
  <c r="I90" i="142"/>
  <c r="H90" i="142"/>
  <c r="N89" i="142"/>
  <c r="M89" i="142"/>
  <c r="L89" i="142"/>
  <c r="K89" i="142"/>
  <c r="I89" i="142"/>
  <c r="H89" i="142"/>
  <c r="G89" i="142"/>
  <c r="N88" i="142"/>
  <c r="M88" i="142"/>
  <c r="L88" i="142"/>
  <c r="K88" i="142"/>
  <c r="I88" i="142"/>
  <c r="H88" i="142"/>
  <c r="G88" i="142"/>
  <c r="F88" i="142"/>
  <c r="N87" i="142"/>
  <c r="M87" i="142"/>
  <c r="L87" i="142"/>
  <c r="K87" i="142"/>
  <c r="I87" i="142"/>
  <c r="H87" i="142"/>
  <c r="G87" i="142"/>
  <c r="F87" i="142"/>
  <c r="N86" i="142"/>
  <c r="M86" i="142"/>
  <c r="L86" i="142"/>
  <c r="K86" i="142"/>
  <c r="I86" i="142"/>
  <c r="H86" i="142"/>
  <c r="G86" i="142"/>
  <c r="F86" i="142"/>
  <c r="N85" i="142"/>
  <c r="M85" i="142"/>
  <c r="L85" i="142"/>
  <c r="K85" i="142"/>
  <c r="I85" i="142"/>
  <c r="H85" i="142"/>
  <c r="G85" i="142"/>
  <c r="N84" i="142"/>
  <c r="M84" i="142"/>
  <c r="L84" i="142"/>
  <c r="K84" i="142"/>
  <c r="I84" i="142"/>
  <c r="N83" i="142"/>
  <c r="M83" i="142"/>
  <c r="L83" i="142"/>
  <c r="I83" i="142"/>
  <c r="N82" i="142"/>
  <c r="M82" i="142"/>
  <c r="L82" i="142"/>
  <c r="K82" i="142"/>
  <c r="I82" i="142"/>
  <c r="H82" i="142"/>
  <c r="G82" i="142"/>
  <c r="N81" i="142"/>
  <c r="M81" i="142"/>
  <c r="L81" i="142"/>
  <c r="K81" i="142"/>
  <c r="I81" i="142"/>
  <c r="H81" i="142"/>
  <c r="G81" i="142"/>
  <c r="N79" i="142"/>
  <c r="M79" i="142"/>
  <c r="L79" i="142"/>
  <c r="K79" i="142"/>
  <c r="I79" i="142"/>
  <c r="H79" i="142"/>
  <c r="G79" i="142"/>
  <c r="F79" i="142"/>
  <c r="N78" i="142"/>
  <c r="M78" i="142"/>
  <c r="L78" i="142"/>
  <c r="K78" i="142"/>
  <c r="I78" i="142"/>
  <c r="H78" i="142"/>
  <c r="G78" i="142"/>
  <c r="N77" i="142"/>
  <c r="M77" i="142"/>
  <c r="L77" i="142"/>
  <c r="K77" i="142"/>
  <c r="I77" i="142"/>
  <c r="H77" i="142"/>
  <c r="G77" i="142"/>
  <c r="N76" i="142"/>
  <c r="M76" i="142"/>
  <c r="L76" i="142"/>
  <c r="K76" i="142"/>
  <c r="I76" i="142"/>
  <c r="H76" i="142"/>
  <c r="G76" i="142"/>
  <c r="N75" i="142"/>
  <c r="M75" i="142"/>
  <c r="L75" i="142"/>
  <c r="K75" i="142"/>
  <c r="I75" i="142"/>
  <c r="H75" i="142"/>
  <c r="G75" i="142"/>
  <c r="F75" i="142"/>
  <c r="N74" i="142"/>
  <c r="M74" i="142"/>
  <c r="L74" i="142"/>
  <c r="K74" i="142"/>
  <c r="I74" i="142"/>
  <c r="H74" i="142"/>
  <c r="G74" i="142"/>
  <c r="F74" i="142"/>
  <c r="N73" i="142"/>
  <c r="M73" i="142"/>
  <c r="L73" i="142"/>
  <c r="K73" i="142"/>
  <c r="I73" i="142"/>
  <c r="H73" i="142"/>
  <c r="G73" i="142"/>
  <c r="F73" i="142"/>
  <c r="N72" i="142"/>
  <c r="M72" i="142"/>
  <c r="L72" i="142"/>
  <c r="K72" i="142"/>
  <c r="I72" i="142"/>
  <c r="H72" i="142"/>
  <c r="G72" i="142"/>
  <c r="N71" i="142"/>
  <c r="M71" i="142"/>
  <c r="L71" i="142"/>
  <c r="K71" i="142"/>
  <c r="I71" i="142"/>
  <c r="H71" i="142"/>
  <c r="G71" i="142"/>
  <c r="F71" i="142"/>
  <c r="N70" i="142"/>
  <c r="M70" i="142"/>
  <c r="L70" i="142"/>
  <c r="K70" i="142"/>
  <c r="I70" i="142"/>
  <c r="H70" i="142"/>
  <c r="G70" i="142"/>
  <c r="F70" i="142"/>
  <c r="N69" i="142"/>
  <c r="M69" i="142"/>
  <c r="L69" i="142"/>
  <c r="K69" i="142"/>
  <c r="I69" i="142"/>
  <c r="H69" i="142"/>
  <c r="G69" i="142"/>
  <c r="F69" i="142"/>
  <c r="N68" i="142"/>
  <c r="M68" i="142"/>
  <c r="L68" i="142"/>
  <c r="K68" i="142"/>
  <c r="I68" i="142"/>
  <c r="H68" i="142"/>
  <c r="G68" i="142"/>
  <c r="F68" i="142"/>
  <c r="N67" i="142"/>
  <c r="M67" i="142"/>
  <c r="L67" i="142"/>
  <c r="K67" i="142"/>
  <c r="I67" i="142"/>
  <c r="H67" i="142"/>
  <c r="G67" i="142"/>
  <c r="N66" i="142"/>
  <c r="M66" i="142"/>
  <c r="L66" i="142"/>
  <c r="K66" i="142"/>
  <c r="I66" i="142"/>
  <c r="H66" i="142"/>
  <c r="G66" i="142"/>
  <c r="N65" i="142"/>
  <c r="M65" i="142"/>
  <c r="L65" i="142"/>
  <c r="K65" i="142"/>
  <c r="I65" i="142"/>
  <c r="H65" i="142"/>
  <c r="G65" i="142"/>
  <c r="F65" i="142"/>
  <c r="N64" i="142"/>
  <c r="M64" i="142"/>
  <c r="L64" i="142"/>
  <c r="K64" i="142"/>
  <c r="I64" i="142"/>
  <c r="H64" i="142"/>
  <c r="G64" i="142"/>
  <c r="N63" i="142"/>
  <c r="M63" i="142"/>
  <c r="L63" i="142"/>
  <c r="K63" i="142"/>
  <c r="I63" i="142"/>
  <c r="H63" i="142"/>
  <c r="G63" i="142"/>
  <c r="F63" i="142"/>
  <c r="N62" i="142"/>
  <c r="M62" i="142"/>
  <c r="L62" i="142"/>
  <c r="K62" i="142"/>
  <c r="I62" i="142"/>
  <c r="H62" i="142"/>
  <c r="G62" i="142"/>
  <c r="F62" i="142"/>
  <c r="N61" i="142"/>
  <c r="M61" i="142"/>
  <c r="L61" i="142"/>
  <c r="K61" i="142"/>
  <c r="I61" i="142"/>
  <c r="H61" i="142"/>
  <c r="G61" i="142"/>
  <c r="N60" i="142"/>
  <c r="M60" i="142"/>
  <c r="L60" i="142"/>
  <c r="K60" i="142"/>
  <c r="I60" i="142"/>
  <c r="H60" i="142"/>
  <c r="G60" i="142"/>
  <c r="N59" i="142"/>
  <c r="M59" i="142"/>
  <c r="L59" i="142"/>
  <c r="K59" i="142"/>
  <c r="I59" i="142"/>
  <c r="H59" i="142"/>
  <c r="G59" i="142"/>
  <c r="N58" i="142"/>
  <c r="M58" i="142"/>
  <c r="L58" i="142"/>
  <c r="K58" i="142"/>
  <c r="I58" i="142"/>
  <c r="H58" i="142"/>
  <c r="G58" i="142"/>
  <c r="F58" i="142"/>
  <c r="N57" i="142"/>
  <c r="M57" i="142"/>
  <c r="L57" i="142"/>
  <c r="K57" i="142"/>
  <c r="I57" i="142"/>
  <c r="H57" i="142"/>
  <c r="G57" i="142"/>
  <c r="F57" i="142"/>
  <c r="N56" i="142"/>
  <c r="M56" i="142"/>
  <c r="L56" i="142"/>
  <c r="K56" i="142"/>
  <c r="I56" i="142"/>
  <c r="H56" i="142"/>
  <c r="G56" i="142"/>
  <c r="N55" i="142"/>
  <c r="M55" i="142"/>
  <c r="L55" i="142"/>
  <c r="I55" i="142"/>
  <c r="N52" i="142"/>
  <c r="M52" i="142"/>
  <c r="L52" i="142"/>
  <c r="I52" i="142"/>
  <c r="H52" i="142"/>
  <c r="G52" i="142"/>
  <c r="N51" i="142"/>
  <c r="M51" i="142"/>
  <c r="L51" i="142"/>
  <c r="I51" i="142"/>
  <c r="H51" i="142"/>
  <c r="G51" i="142"/>
  <c r="F51" i="142"/>
  <c r="N50" i="142"/>
  <c r="M50" i="142"/>
  <c r="L50" i="142"/>
  <c r="K50" i="142"/>
  <c r="I50" i="142"/>
  <c r="H50" i="142"/>
  <c r="G50" i="142"/>
  <c r="N49" i="142"/>
  <c r="M49" i="142"/>
  <c r="L49" i="142"/>
  <c r="I49" i="142"/>
  <c r="N48" i="142"/>
  <c r="M48" i="142"/>
  <c r="L48" i="142"/>
  <c r="K48" i="142"/>
  <c r="I48" i="142"/>
  <c r="H48" i="142"/>
  <c r="G48" i="142"/>
  <c r="N47" i="142"/>
  <c r="M47" i="142"/>
  <c r="L47" i="142"/>
  <c r="K47" i="142"/>
  <c r="I47" i="142"/>
  <c r="H47" i="142"/>
  <c r="G47" i="142"/>
  <c r="N46" i="142"/>
  <c r="M46" i="142"/>
  <c r="L46" i="142"/>
  <c r="K46" i="142"/>
  <c r="I46" i="142"/>
  <c r="H46" i="142"/>
  <c r="G46" i="142"/>
  <c r="N45" i="142"/>
  <c r="M45" i="142"/>
  <c r="I45" i="142"/>
  <c r="H45" i="142"/>
  <c r="G45" i="142"/>
  <c r="N44" i="142"/>
  <c r="M44" i="142"/>
  <c r="I44" i="142"/>
  <c r="H44" i="142"/>
  <c r="G44" i="142"/>
  <c r="N43" i="142"/>
  <c r="M43" i="142"/>
  <c r="K43" i="142"/>
  <c r="I43" i="142"/>
  <c r="H43" i="142"/>
  <c r="G43" i="142"/>
  <c r="N42" i="142"/>
  <c r="M42" i="142"/>
  <c r="I42" i="142"/>
  <c r="H42" i="142"/>
  <c r="G42" i="142"/>
  <c r="N41" i="142"/>
  <c r="M41" i="142"/>
  <c r="L41" i="142"/>
  <c r="K41" i="142"/>
  <c r="I41" i="142"/>
  <c r="H41" i="142"/>
  <c r="N38" i="142"/>
  <c r="M38" i="142"/>
  <c r="L38" i="142"/>
  <c r="I38" i="142"/>
  <c r="H38" i="142"/>
  <c r="G38" i="142"/>
  <c r="N37" i="142"/>
  <c r="M37" i="142"/>
  <c r="L37" i="142"/>
  <c r="I37" i="142"/>
  <c r="H37" i="142"/>
  <c r="G37" i="142"/>
  <c r="F37" i="142"/>
  <c r="N36" i="142"/>
  <c r="M36" i="142"/>
  <c r="L36" i="142"/>
  <c r="K36" i="142"/>
  <c r="I36" i="142"/>
  <c r="H36" i="142"/>
  <c r="G36" i="142"/>
  <c r="F36" i="142"/>
  <c r="N35" i="142"/>
  <c r="M35" i="142"/>
  <c r="L35" i="142"/>
  <c r="K35" i="142"/>
  <c r="I35" i="142"/>
  <c r="H35" i="142"/>
  <c r="N34" i="142"/>
  <c r="M34" i="142"/>
  <c r="L34" i="142"/>
  <c r="K34" i="142"/>
  <c r="I34" i="142"/>
  <c r="H34" i="142"/>
  <c r="G34" i="142"/>
  <c r="N33" i="142"/>
  <c r="M33" i="142"/>
  <c r="L33" i="142"/>
  <c r="I33" i="142"/>
  <c r="N32" i="142"/>
  <c r="M32" i="142"/>
  <c r="L32" i="142"/>
  <c r="K32" i="142"/>
  <c r="I32" i="142"/>
  <c r="H32" i="142"/>
  <c r="I31" i="142"/>
  <c r="N30" i="142"/>
  <c r="I30" i="142"/>
  <c r="N29" i="142"/>
  <c r="M29" i="142"/>
  <c r="L29" i="142"/>
  <c r="I29" i="142"/>
  <c r="N28" i="142"/>
  <c r="I28" i="142"/>
  <c r="N27" i="142"/>
  <c r="I27" i="142"/>
  <c r="N24" i="142"/>
  <c r="M24" i="142"/>
  <c r="L24" i="142"/>
  <c r="I24" i="142"/>
  <c r="H24" i="142"/>
  <c r="G24" i="142"/>
  <c r="N23" i="142"/>
  <c r="M23" i="142"/>
  <c r="L23" i="142"/>
  <c r="K23" i="142"/>
  <c r="I23" i="142"/>
  <c r="H23" i="142"/>
  <c r="G23" i="142"/>
  <c r="F23" i="142"/>
  <c r="N22" i="142"/>
  <c r="M22" i="142"/>
  <c r="L22" i="142"/>
  <c r="K22" i="142"/>
  <c r="I22" i="142"/>
  <c r="H22" i="142"/>
  <c r="G22" i="142"/>
  <c r="F22" i="142"/>
  <c r="N21" i="142"/>
  <c r="M21" i="142"/>
  <c r="L21" i="142"/>
  <c r="K21" i="142"/>
  <c r="I21" i="142"/>
  <c r="H21" i="142"/>
  <c r="G21" i="142"/>
  <c r="F19" i="142"/>
  <c r="G19" i="142"/>
  <c r="H19" i="142"/>
  <c r="I19" i="142"/>
  <c r="K19" i="142"/>
  <c r="M19" i="142"/>
  <c r="N19" i="142"/>
  <c r="G16" i="142"/>
  <c r="H16" i="142"/>
  <c r="I16" i="142"/>
  <c r="K16" i="142"/>
  <c r="L16" i="142"/>
  <c r="M16" i="142"/>
  <c r="N16" i="142"/>
  <c r="F17" i="142"/>
  <c r="H17" i="142"/>
  <c r="I17" i="142"/>
  <c r="I14" i="142" s="1"/>
  <c r="I13" i="142" s="1"/>
  <c r="L17" i="142"/>
  <c r="M17" i="142"/>
  <c r="N17" i="142"/>
  <c r="G18" i="142"/>
  <c r="H18" i="142"/>
  <c r="I18" i="142"/>
  <c r="K18" i="142"/>
  <c r="L18" i="142"/>
  <c r="M18" i="142"/>
  <c r="N18" i="142"/>
  <c r="N15" i="142"/>
  <c r="N14" i="142" s="1"/>
  <c r="N13" i="142" s="1"/>
  <c r="M15" i="142"/>
  <c r="L15" i="142"/>
  <c r="I15" i="142"/>
  <c r="L200" i="97"/>
  <c r="O200" i="97"/>
  <c r="K200" i="97"/>
  <c r="J200" i="97"/>
  <c r="F200" i="97"/>
  <c r="N188" i="142"/>
  <c r="N187" i="142" s="1"/>
  <c r="M188" i="142"/>
  <c r="M187" i="142" s="1"/>
  <c r="N183" i="142"/>
  <c r="M183" i="142"/>
  <c r="K183" i="142"/>
  <c r="I183" i="142"/>
  <c r="H183" i="142"/>
  <c r="G183" i="142"/>
  <c r="F183" i="142"/>
  <c r="N182" i="142"/>
  <c r="N181" i="142" s="1"/>
  <c r="N180" i="142" s="1"/>
  <c r="M182" i="142"/>
  <c r="L182" i="142"/>
  <c r="K182" i="142"/>
  <c r="K181" i="142" s="1"/>
  <c r="K180" i="142" s="1"/>
  <c r="I182" i="142"/>
  <c r="N172" i="142"/>
  <c r="M172" i="142"/>
  <c r="M169" i="142" s="1"/>
  <c r="M168" i="142" s="1"/>
  <c r="L172" i="142"/>
  <c r="I172" i="142"/>
  <c r="H172" i="142"/>
  <c r="G172" i="142"/>
  <c r="F172" i="142"/>
  <c r="N171" i="142"/>
  <c r="M171" i="142"/>
  <c r="L171" i="142"/>
  <c r="K171" i="142"/>
  <c r="I171" i="142"/>
  <c r="H171" i="142"/>
  <c r="G171" i="142"/>
  <c r="F171" i="142"/>
  <c r="N170" i="142"/>
  <c r="N169" i="142" s="1"/>
  <c r="N168" i="142" s="1"/>
  <c r="M170" i="142"/>
  <c r="L170" i="142"/>
  <c r="I170" i="142"/>
  <c r="I169" i="142" s="1"/>
  <c r="I168" i="142" s="1"/>
  <c r="H170" i="142"/>
  <c r="N167" i="142"/>
  <c r="M167" i="142"/>
  <c r="L167" i="142"/>
  <c r="I167" i="142"/>
  <c r="H167" i="142"/>
  <c r="G167" i="142"/>
  <c r="F167" i="142"/>
  <c r="N166" i="142"/>
  <c r="M166" i="142"/>
  <c r="L166" i="142"/>
  <c r="I166" i="142"/>
  <c r="H166" i="142"/>
  <c r="G166" i="142"/>
  <c r="F166" i="142"/>
  <c r="N165" i="142"/>
  <c r="M165" i="142"/>
  <c r="L165" i="142"/>
  <c r="I165" i="142"/>
  <c r="H165" i="142"/>
  <c r="G165" i="142"/>
  <c r="F165" i="142"/>
  <c r="N164" i="142"/>
  <c r="M164" i="142"/>
  <c r="L164" i="142"/>
  <c r="I164" i="142"/>
  <c r="H164" i="142"/>
  <c r="G164" i="142"/>
  <c r="F164" i="142"/>
  <c r="N163" i="142"/>
  <c r="M163" i="142"/>
  <c r="L163" i="142"/>
  <c r="I163" i="142"/>
  <c r="H163" i="142"/>
  <c r="G163" i="142"/>
  <c r="F163" i="142"/>
  <c r="N162" i="142"/>
  <c r="M162" i="142"/>
  <c r="L162" i="142"/>
  <c r="K162" i="142"/>
  <c r="I162" i="142"/>
  <c r="H162" i="142"/>
  <c r="G162" i="142"/>
  <c r="N161" i="142"/>
  <c r="M161" i="142"/>
  <c r="L161" i="142"/>
  <c r="I161" i="142"/>
  <c r="N158" i="142"/>
  <c r="M158" i="142"/>
  <c r="L158" i="142"/>
  <c r="K158" i="142"/>
  <c r="I158" i="142"/>
  <c r="H158" i="142"/>
  <c r="P157" i="142"/>
  <c r="O157" i="142"/>
  <c r="N157" i="142"/>
  <c r="M157" i="142"/>
  <c r="L157" i="142"/>
  <c r="K157" i="142"/>
  <c r="J157" i="142"/>
  <c r="I157" i="142"/>
  <c r="H157" i="142"/>
  <c r="G157" i="142"/>
  <c r="F157" i="142"/>
  <c r="N156" i="142"/>
  <c r="M156" i="142"/>
  <c r="K156" i="142"/>
  <c r="I156" i="142"/>
  <c r="H156" i="142"/>
  <c r="G156" i="142"/>
  <c r="F156" i="142"/>
  <c r="N155" i="142"/>
  <c r="M155" i="142"/>
  <c r="L155" i="142"/>
  <c r="I155" i="142"/>
  <c r="H155" i="142"/>
  <c r="G155" i="142"/>
  <c r="F155" i="142"/>
  <c r="N154" i="142"/>
  <c r="M154" i="142"/>
  <c r="L154" i="142"/>
  <c r="I154" i="142"/>
  <c r="H154" i="142"/>
  <c r="G154" i="142"/>
  <c r="N153" i="142"/>
  <c r="M153" i="142"/>
  <c r="L153" i="142"/>
  <c r="K153" i="142"/>
  <c r="I153" i="142"/>
  <c r="H153" i="142"/>
  <c r="G153" i="142"/>
  <c r="F153" i="142"/>
  <c r="N152" i="142"/>
  <c r="M152" i="142"/>
  <c r="L152" i="142"/>
  <c r="I152" i="142"/>
  <c r="H152" i="142"/>
  <c r="G152" i="142"/>
  <c r="N151" i="142"/>
  <c r="M151" i="142"/>
  <c r="L151" i="142"/>
  <c r="K151" i="142"/>
  <c r="I151" i="142"/>
  <c r="H151" i="142"/>
  <c r="G151" i="142"/>
  <c r="N150" i="142"/>
  <c r="M150" i="142"/>
  <c r="L150" i="142"/>
  <c r="K150" i="142"/>
  <c r="I150" i="142"/>
  <c r="H150" i="142"/>
  <c r="G150" i="142"/>
  <c r="N149" i="142"/>
  <c r="M149" i="142"/>
  <c r="L149" i="142"/>
  <c r="K149" i="142"/>
  <c r="I149" i="142"/>
  <c r="H149" i="142"/>
  <c r="G149" i="142"/>
  <c r="F149" i="142"/>
  <c r="N148" i="142"/>
  <c r="M148" i="142"/>
  <c r="L148" i="142"/>
  <c r="I148" i="142"/>
  <c r="H148" i="142"/>
  <c r="G148" i="142"/>
  <c r="F148" i="142"/>
  <c r="N147" i="142"/>
  <c r="M147" i="142"/>
  <c r="L147" i="142"/>
  <c r="I147" i="142"/>
  <c r="G147" i="142"/>
  <c r="N146" i="142"/>
  <c r="M146" i="142"/>
  <c r="L146" i="142"/>
  <c r="K146" i="142"/>
  <c r="I146" i="142"/>
  <c r="H146" i="142"/>
  <c r="G146" i="142"/>
  <c r="N145" i="142"/>
  <c r="M145" i="142"/>
  <c r="L145" i="142"/>
  <c r="I145" i="142"/>
  <c r="H145" i="142"/>
  <c r="G145" i="142"/>
  <c r="F145" i="142"/>
  <c r="N144" i="142"/>
  <c r="M144" i="142"/>
  <c r="L144" i="142"/>
  <c r="I144" i="142"/>
  <c r="H144" i="142"/>
  <c r="G144" i="142"/>
  <c r="F144" i="142"/>
  <c r="N143" i="142"/>
  <c r="M143" i="142"/>
  <c r="L143" i="142"/>
  <c r="K143" i="142"/>
  <c r="I143" i="142"/>
  <c r="H143" i="142"/>
  <c r="G143" i="142"/>
  <c r="N142" i="142"/>
  <c r="M142" i="142"/>
  <c r="L142" i="142"/>
  <c r="K142" i="142"/>
  <c r="I142" i="142"/>
  <c r="H142" i="142"/>
  <c r="G142" i="142"/>
  <c r="N141" i="142"/>
  <c r="M141" i="142"/>
  <c r="L141" i="142"/>
  <c r="I141" i="142"/>
  <c r="H141" i="142"/>
  <c r="G141" i="142"/>
  <c r="F141" i="142"/>
  <c r="N140" i="142"/>
  <c r="M140" i="142"/>
  <c r="L140" i="142"/>
  <c r="K140" i="142"/>
  <c r="I140" i="142"/>
  <c r="H140" i="142"/>
  <c r="G140" i="142"/>
  <c r="I139" i="142"/>
  <c r="K139" i="142"/>
  <c r="L139" i="142"/>
  <c r="M139" i="142"/>
  <c r="N139" i="142"/>
  <c r="N193" i="142"/>
  <c r="N192" i="142" s="1"/>
  <c r="H188" i="142"/>
  <c r="H187" i="142" s="1"/>
  <c r="K175" i="142"/>
  <c r="E175" i="142"/>
  <c r="L174" i="142"/>
  <c r="L173" i="142" s="1"/>
  <c r="H169" i="142"/>
  <c r="H168" i="142" s="1"/>
  <c r="I105" i="137"/>
  <c r="I97" i="137"/>
  <c r="I95" i="137"/>
  <c r="I92" i="137"/>
  <c r="K155" i="97"/>
  <c r="K152" i="97"/>
  <c r="K148" i="97"/>
  <c r="K147" i="97"/>
  <c r="K141" i="97"/>
  <c r="F152" i="97"/>
  <c r="F147" i="97"/>
  <c r="F142" i="97"/>
  <c r="H200" i="97"/>
  <c r="F195" i="97"/>
  <c r="H30" i="97"/>
  <c r="H194" i="97"/>
  <c r="G194" i="97"/>
  <c r="F194" i="97"/>
  <c r="G189" i="97"/>
  <c r="F189" i="97"/>
  <c r="H182" i="97"/>
  <c r="G182" i="97"/>
  <c r="F182" i="97"/>
  <c r="I183" i="137"/>
  <c r="K170" i="97"/>
  <c r="G170" i="97"/>
  <c r="F170" i="97"/>
  <c r="G139" i="97"/>
  <c r="F139" i="97"/>
  <c r="I158" i="137"/>
  <c r="K161" i="97"/>
  <c r="H161" i="97"/>
  <c r="G161" i="97"/>
  <c r="F161" i="97"/>
  <c r="H55" i="97"/>
  <c r="G55" i="97"/>
  <c r="F55" i="97"/>
  <c r="G41" i="97"/>
  <c r="F41" i="97"/>
  <c r="F132" i="97"/>
  <c r="F128" i="97"/>
  <c r="F127" i="97"/>
  <c r="F129" i="97"/>
  <c r="R134" i="97"/>
  <c r="G134" i="97"/>
  <c r="F134" i="97"/>
  <c r="F133" i="97"/>
  <c r="F124" i="97"/>
  <c r="F131" i="97"/>
  <c r="H125" i="97"/>
  <c r="F125" i="97"/>
  <c r="H126" i="97"/>
  <c r="F126" i="97"/>
  <c r="I81" i="137"/>
  <c r="K123" i="97"/>
  <c r="I86" i="137"/>
  <c r="K130" i="97"/>
  <c r="H130" i="97"/>
  <c r="G130" i="97"/>
  <c r="F130" i="97"/>
  <c r="H116" i="97"/>
  <c r="H117" i="97"/>
  <c r="H113" i="97"/>
  <c r="F82" i="97"/>
  <c r="F60" i="97"/>
  <c r="F61" i="97"/>
  <c r="F85" i="97"/>
  <c r="I67" i="137"/>
  <c r="K106" i="97"/>
  <c r="F105" i="97"/>
  <c r="I63" i="137"/>
  <c r="K104" i="97"/>
  <c r="H104" i="97"/>
  <c r="G104" i="97"/>
  <c r="F104" i="97"/>
  <c r="H84" i="97"/>
  <c r="G84" i="97"/>
  <c r="F84" i="97"/>
  <c r="H83" i="97"/>
  <c r="G83" i="97"/>
  <c r="F83" i="97"/>
  <c r="F47" i="97"/>
  <c r="F48" i="97"/>
  <c r="F50" i="97"/>
  <c r="H49" i="97"/>
  <c r="G49" i="97"/>
  <c r="F49" i="97"/>
  <c r="F46" i="97"/>
  <c r="I43" i="137"/>
  <c r="K51" i="97"/>
  <c r="F44" i="97"/>
  <c r="F43" i="97"/>
  <c r="K42" i="97"/>
  <c r="I36" i="137"/>
  <c r="F42" i="97"/>
  <c r="K37" i="97"/>
  <c r="F35" i="97"/>
  <c r="I18" i="137"/>
  <c r="K28" i="97"/>
  <c r="I28" i="137"/>
  <c r="K31" i="97"/>
  <c r="H31" i="97"/>
  <c r="F31" i="97"/>
  <c r="H29" i="97"/>
  <c r="F29" i="97"/>
  <c r="I22" i="137"/>
  <c r="I32" i="137"/>
  <c r="J32" i="137" s="1"/>
  <c r="J207" i="145" l="1"/>
  <c r="Q122" i="145"/>
  <c r="P121" i="145"/>
  <c r="Q193" i="145"/>
  <c r="P192" i="145"/>
  <c r="Q26" i="145"/>
  <c r="P25" i="145"/>
  <c r="Q54" i="145"/>
  <c r="P53" i="145"/>
  <c r="P198" i="145" s="1"/>
  <c r="Q169" i="145"/>
  <c r="P168" i="145"/>
  <c r="L169" i="142"/>
  <c r="L168" i="142" s="1"/>
  <c r="L112" i="142"/>
  <c r="L111" i="142" s="1"/>
  <c r="L122" i="142"/>
  <c r="L121" i="142" s="1"/>
  <c r="L160" i="142"/>
  <c r="L159" i="142" s="1"/>
  <c r="M40" i="142"/>
  <c r="M39" i="142" s="1"/>
  <c r="N40" i="142"/>
  <c r="N39" i="142" s="1"/>
  <c r="M112" i="142"/>
  <c r="M111" i="142" s="1"/>
  <c r="M174" i="142"/>
  <c r="M173" i="142" s="1"/>
  <c r="L193" i="142"/>
  <c r="L192" i="142" s="1"/>
  <c r="G49" i="142"/>
  <c r="G49" i="144"/>
  <c r="F129" i="142"/>
  <c r="F129" i="144"/>
  <c r="H29" i="142"/>
  <c r="H29" i="144"/>
  <c r="F35" i="142"/>
  <c r="F35" i="144"/>
  <c r="H104" i="142"/>
  <c r="H104" i="144"/>
  <c r="H117" i="142"/>
  <c r="H117" i="144"/>
  <c r="H130" i="142"/>
  <c r="H130" i="144"/>
  <c r="H125" i="142"/>
  <c r="H125" i="144"/>
  <c r="G41" i="142"/>
  <c r="G40" i="142" s="1"/>
  <c r="G39" i="142" s="1"/>
  <c r="G41" i="144"/>
  <c r="G40" i="144" s="1"/>
  <c r="G39" i="144" s="1"/>
  <c r="G182" i="142"/>
  <c r="G181" i="142" s="1"/>
  <c r="G180" i="142" s="1"/>
  <c r="G182" i="144"/>
  <c r="G181" i="144" s="1"/>
  <c r="G180" i="144" s="1"/>
  <c r="F195" i="142"/>
  <c r="F195" i="144"/>
  <c r="N112" i="142"/>
  <c r="N111" i="142" s="1"/>
  <c r="M193" i="142"/>
  <c r="M192" i="142" s="1"/>
  <c r="K123" i="142"/>
  <c r="K123" i="144"/>
  <c r="G189" i="142"/>
  <c r="G188" i="142" s="1"/>
  <c r="G187" i="142" s="1"/>
  <c r="G189" i="144"/>
  <c r="G188" i="144" s="1"/>
  <c r="G187" i="144" s="1"/>
  <c r="K37" i="142"/>
  <c r="K37" i="144"/>
  <c r="H84" i="142"/>
  <c r="H84" i="144"/>
  <c r="H116" i="142"/>
  <c r="H116" i="144"/>
  <c r="F131" i="142"/>
  <c r="F131" i="144"/>
  <c r="K170" i="142"/>
  <c r="K170" i="144"/>
  <c r="H182" i="142"/>
  <c r="H181" i="142" s="1"/>
  <c r="H180" i="142" s="1"/>
  <c r="H182" i="144"/>
  <c r="H181" i="144" s="1"/>
  <c r="H180" i="144" s="1"/>
  <c r="F152" i="142"/>
  <c r="F152" i="144"/>
  <c r="M138" i="142"/>
  <c r="M137" i="142" s="1"/>
  <c r="I122" i="142"/>
  <c r="I121" i="142" s="1"/>
  <c r="I174" i="142"/>
  <c r="I173" i="142" s="1"/>
  <c r="F133" i="142"/>
  <c r="F133" i="144"/>
  <c r="F41" i="142"/>
  <c r="F41" i="144"/>
  <c r="F48" i="142"/>
  <c r="F48" i="144"/>
  <c r="H83" i="142"/>
  <c r="H83" i="144"/>
  <c r="F85" i="142"/>
  <c r="F85" i="144"/>
  <c r="H126" i="142"/>
  <c r="H126" i="144"/>
  <c r="G55" i="142"/>
  <c r="G55" i="144"/>
  <c r="G139" i="142"/>
  <c r="G139" i="144"/>
  <c r="K141" i="142"/>
  <c r="K141" i="144"/>
  <c r="N160" i="142"/>
  <c r="N159" i="142" s="1"/>
  <c r="I193" i="142"/>
  <c r="I192" i="142" s="1"/>
  <c r="I198" i="144"/>
  <c r="H122" i="142"/>
  <c r="H121" i="142" s="1"/>
  <c r="I138" i="142"/>
  <c r="I137" i="142" s="1"/>
  <c r="I26" i="142"/>
  <c r="I25" i="142" s="1"/>
  <c r="I160" i="142"/>
  <c r="I159" i="142" s="1"/>
  <c r="M160" i="142"/>
  <c r="M159" i="142" s="1"/>
  <c r="I40" i="142"/>
  <c r="I39" i="142" s="1"/>
  <c r="N138" i="142"/>
  <c r="N137" i="142" s="1"/>
  <c r="M14" i="142"/>
  <c r="M13" i="142" s="1"/>
  <c r="M54" i="142"/>
  <c r="M53" i="142" s="1"/>
  <c r="I54" i="142"/>
  <c r="I53" i="142" s="1"/>
  <c r="N54" i="142"/>
  <c r="N53" i="142" s="1"/>
  <c r="I181" i="142"/>
  <c r="I180" i="142" s="1"/>
  <c r="M181" i="142"/>
  <c r="M180" i="142" s="1"/>
  <c r="J208" i="97"/>
  <c r="O175" i="142"/>
  <c r="J175" i="142" s="1"/>
  <c r="P175" i="142" s="1"/>
  <c r="L187" i="142"/>
  <c r="I21" i="137"/>
  <c r="H21" i="137"/>
  <c r="I19" i="137"/>
  <c r="I23" i="137"/>
  <c r="H28" i="97"/>
  <c r="I17" i="137"/>
  <c r="K27" i="97"/>
  <c r="H27" i="97"/>
  <c r="H19" i="125"/>
  <c r="F18" i="97"/>
  <c r="H15" i="97"/>
  <c r="G15" i="97"/>
  <c r="F15" i="97"/>
  <c r="F210" i="145" l="1"/>
  <c r="P207" i="145"/>
  <c r="P208" i="145"/>
  <c r="H122" i="144"/>
  <c r="H121" i="144" s="1"/>
  <c r="G15" i="142"/>
  <c r="G15" i="144"/>
  <c r="F18" i="142"/>
  <c r="F18" i="144"/>
  <c r="I198" i="142"/>
  <c r="K166" i="97"/>
  <c r="J167" i="137"/>
  <c r="I167" i="137"/>
  <c r="J170" i="137"/>
  <c r="I170" i="137"/>
  <c r="J168" i="137"/>
  <c r="I168" i="137"/>
  <c r="K163" i="97" l="1"/>
  <c r="K165" i="97"/>
  <c r="K164" i="97"/>
  <c r="O184" i="97"/>
  <c r="O184" i="144" s="1"/>
  <c r="L186" i="97"/>
  <c r="L183" i="97"/>
  <c r="E184" i="97"/>
  <c r="L186" i="142" l="1"/>
  <c r="L186" i="144"/>
  <c r="E184" i="142"/>
  <c r="E184" i="144"/>
  <c r="J184" i="97"/>
  <c r="O184" i="142"/>
  <c r="F14" i="116"/>
  <c r="F8" i="116"/>
  <c r="K190" i="97"/>
  <c r="K190" i="142" l="1"/>
  <c r="K188" i="142" s="1"/>
  <c r="K187" i="142" s="1"/>
  <c r="K190" i="144"/>
  <c r="K188" i="144" s="1"/>
  <c r="K187" i="144" s="1"/>
  <c r="J184" i="142"/>
  <c r="J184" i="144"/>
  <c r="P184" i="97"/>
  <c r="I197" i="137"/>
  <c r="I196" i="137"/>
  <c r="I195" i="137"/>
  <c r="P184" i="142" l="1"/>
  <c r="P184" i="144"/>
  <c r="J178" i="137"/>
  <c r="I178" i="137"/>
  <c r="J177" i="137"/>
  <c r="I177" i="137"/>
  <c r="J176" i="137"/>
  <c r="I176" i="137"/>
  <c r="I175" i="137"/>
  <c r="I174" i="137"/>
  <c r="I173" i="137"/>
  <c r="I172" i="137"/>
  <c r="I171" i="137"/>
  <c r="J169" i="137"/>
  <c r="I169" i="137"/>
  <c r="J166" i="137"/>
  <c r="I166" i="137"/>
  <c r="J165" i="137"/>
  <c r="I165" i="137"/>
  <c r="I164" i="137"/>
  <c r="I163" i="137"/>
  <c r="H163" i="137"/>
  <c r="J163" i="137" s="1"/>
  <c r="I162" i="137"/>
  <c r="H162" i="137"/>
  <c r="J162" i="137" s="1"/>
  <c r="I161" i="137"/>
  <c r="H161" i="137"/>
  <c r="J161" i="137" s="1"/>
  <c r="J160" i="137"/>
  <c r="I160" i="137"/>
  <c r="I159" i="137"/>
  <c r="H159" i="137"/>
  <c r="J159" i="137" s="1"/>
  <c r="I137" i="137" l="1"/>
  <c r="I114" i="137" l="1"/>
  <c r="I113" i="137"/>
  <c r="I112" i="137"/>
  <c r="N130" i="141" l="1"/>
  <c r="N199" i="141"/>
  <c r="E199" i="141"/>
  <c r="P199" i="141" s="1"/>
  <c r="J207" i="141"/>
  <c r="O196" i="141"/>
  <c r="J196" i="141"/>
  <c r="E196" i="141"/>
  <c r="O195" i="141"/>
  <c r="J195" i="141" s="1"/>
  <c r="F195" i="141"/>
  <c r="O194" i="141"/>
  <c r="J194" i="141" s="1"/>
  <c r="E194" i="141"/>
  <c r="K193" i="141"/>
  <c r="H193" i="141"/>
  <c r="G193" i="141"/>
  <c r="G194" i="142" s="1"/>
  <c r="G193" i="142" s="1"/>
  <c r="G192" i="142" s="1"/>
  <c r="F193" i="141"/>
  <c r="F194" i="142" s="1"/>
  <c r="N192" i="141"/>
  <c r="N191" i="141" s="1"/>
  <c r="M192" i="141"/>
  <c r="M191" i="141" s="1"/>
  <c r="L192" i="141"/>
  <c r="I192" i="141"/>
  <c r="I191" i="141" s="1"/>
  <c r="O190" i="141"/>
  <c r="J190" i="141" s="1"/>
  <c r="E190" i="141"/>
  <c r="O189" i="141"/>
  <c r="J189" i="141" s="1"/>
  <c r="E189" i="141"/>
  <c r="O188" i="141"/>
  <c r="J188" i="141" s="1"/>
  <c r="F188" i="141"/>
  <c r="N187" i="141"/>
  <c r="M187" i="141"/>
  <c r="L187" i="141"/>
  <c r="K187" i="141"/>
  <c r="I187" i="141"/>
  <c r="I186" i="141" s="1"/>
  <c r="H187" i="141"/>
  <c r="H186" i="141" s="1"/>
  <c r="G187" i="141"/>
  <c r="G186" i="141" s="1"/>
  <c r="F187" i="141"/>
  <c r="N186" i="141"/>
  <c r="M186" i="141"/>
  <c r="L186" i="141"/>
  <c r="F186" i="141"/>
  <c r="O185" i="141"/>
  <c r="J185" i="141" s="1"/>
  <c r="P185" i="141" s="1"/>
  <c r="O184" i="141"/>
  <c r="J184" i="141" s="1"/>
  <c r="E184" i="141"/>
  <c r="O183" i="141"/>
  <c r="L183" i="141"/>
  <c r="L183" i="142" s="1"/>
  <c r="L181" i="142" s="1"/>
  <c r="E183" i="141"/>
  <c r="O182" i="141"/>
  <c r="F182" i="141"/>
  <c r="F182" i="142" s="1"/>
  <c r="F181" i="142" s="1"/>
  <c r="F180" i="142" s="1"/>
  <c r="E182" i="141"/>
  <c r="N181" i="141"/>
  <c r="N180" i="141" s="1"/>
  <c r="M181" i="141"/>
  <c r="K181" i="141"/>
  <c r="K180" i="141" s="1"/>
  <c r="I181" i="141"/>
  <c r="I180" i="141" s="1"/>
  <c r="H181" i="141"/>
  <c r="H180" i="141" s="1"/>
  <c r="G181" i="141"/>
  <c r="F181" i="141"/>
  <c r="F180" i="141" s="1"/>
  <c r="M180" i="141"/>
  <c r="G180" i="141"/>
  <c r="K179" i="141"/>
  <c r="O179" i="141" s="1"/>
  <c r="J179" i="141" s="1"/>
  <c r="E179" i="141"/>
  <c r="K178" i="141"/>
  <c r="O178" i="141" s="1"/>
  <c r="J178" i="141" s="1"/>
  <c r="F178" i="141"/>
  <c r="E178" i="141" s="1"/>
  <c r="O177" i="141"/>
  <c r="J177" i="141" s="1"/>
  <c r="F177" i="141"/>
  <c r="E177" i="141" s="1"/>
  <c r="K176" i="141"/>
  <c r="O176" i="141" s="1"/>
  <c r="J176" i="141" s="1"/>
  <c r="F176" i="141"/>
  <c r="E176" i="141" s="1"/>
  <c r="K175" i="141"/>
  <c r="E175" i="141"/>
  <c r="N174" i="141"/>
  <c r="N173" i="141" s="1"/>
  <c r="M174" i="141"/>
  <c r="M173" i="141" s="1"/>
  <c r="L174" i="141"/>
  <c r="L173" i="141" s="1"/>
  <c r="I174" i="141"/>
  <c r="I173" i="141" s="1"/>
  <c r="H174" i="141"/>
  <c r="G174" i="141"/>
  <c r="G173" i="141" s="1"/>
  <c r="H173" i="141"/>
  <c r="K172" i="141"/>
  <c r="E172" i="141"/>
  <c r="O171" i="141"/>
  <c r="E171" i="141"/>
  <c r="R170" i="141"/>
  <c r="O170" i="141"/>
  <c r="J170" i="141" s="1"/>
  <c r="G170" i="141"/>
  <c r="F170" i="141"/>
  <c r="F170" i="142" s="1"/>
  <c r="F169" i="142" s="1"/>
  <c r="F168" i="142" s="1"/>
  <c r="N169" i="141"/>
  <c r="N168" i="141" s="1"/>
  <c r="M169" i="141"/>
  <c r="L169" i="141"/>
  <c r="L168" i="141" s="1"/>
  <c r="I169" i="141"/>
  <c r="I168" i="141" s="1"/>
  <c r="H169" i="141"/>
  <c r="H168" i="141" s="1"/>
  <c r="M168" i="141"/>
  <c r="K167" i="141"/>
  <c r="O167" i="141" s="1"/>
  <c r="J167" i="141" s="1"/>
  <c r="E167" i="141"/>
  <c r="K166" i="141"/>
  <c r="E166" i="141"/>
  <c r="K165" i="141"/>
  <c r="K165" i="142" s="1"/>
  <c r="E165" i="141"/>
  <c r="K164" i="141"/>
  <c r="E164" i="141"/>
  <c r="K163" i="141"/>
  <c r="E163" i="141"/>
  <c r="O162" i="141"/>
  <c r="J162" i="141" s="1"/>
  <c r="F162" i="141"/>
  <c r="F162" i="142" s="1"/>
  <c r="K161" i="141"/>
  <c r="H161" i="141"/>
  <c r="G161" i="141"/>
  <c r="F161" i="141"/>
  <c r="N160" i="141"/>
  <c r="N159" i="141" s="1"/>
  <c r="M160" i="141"/>
  <c r="M159" i="141" s="1"/>
  <c r="L160" i="141"/>
  <c r="L159" i="141" s="1"/>
  <c r="I160" i="141"/>
  <c r="I159" i="141" s="1"/>
  <c r="O158" i="141"/>
  <c r="J158" i="141" s="1"/>
  <c r="G158" i="141"/>
  <c r="G138" i="141" s="1"/>
  <c r="G137" i="141" s="1"/>
  <c r="F158" i="141"/>
  <c r="E158" i="141" s="1"/>
  <c r="O156" i="141"/>
  <c r="L156" i="141"/>
  <c r="J156" i="141" s="1"/>
  <c r="E156" i="141"/>
  <c r="K155" i="141"/>
  <c r="E155" i="141"/>
  <c r="K154" i="141"/>
  <c r="F154" i="141"/>
  <c r="E154" i="141" s="1"/>
  <c r="O153" i="141"/>
  <c r="J153" i="141" s="1"/>
  <c r="E153" i="141"/>
  <c r="K152" i="141"/>
  <c r="E152" i="141"/>
  <c r="O151" i="141"/>
  <c r="J151" i="141" s="1"/>
  <c r="F151" i="141"/>
  <c r="F151" i="142" s="1"/>
  <c r="O150" i="141"/>
  <c r="J150" i="141" s="1"/>
  <c r="F150" i="141"/>
  <c r="E150" i="141" s="1"/>
  <c r="O149" i="141"/>
  <c r="J149" i="141" s="1"/>
  <c r="E149" i="141"/>
  <c r="K148" i="141"/>
  <c r="K148" i="142" s="1"/>
  <c r="E148" i="141"/>
  <c r="K147" i="141"/>
  <c r="H147" i="141"/>
  <c r="F147" i="141"/>
  <c r="O146" i="141"/>
  <c r="J146" i="141" s="1"/>
  <c r="F146" i="141"/>
  <c r="E146" i="141" s="1"/>
  <c r="K145" i="141"/>
  <c r="O145" i="141" s="1"/>
  <c r="J145" i="141" s="1"/>
  <c r="E145" i="141"/>
  <c r="K144" i="141"/>
  <c r="O144" i="141" s="1"/>
  <c r="J144" i="141" s="1"/>
  <c r="E144" i="141"/>
  <c r="O143" i="141"/>
  <c r="J143" i="141" s="1"/>
  <c r="F143" i="141"/>
  <c r="E143" i="141" s="1"/>
  <c r="O142" i="141"/>
  <c r="F142" i="141"/>
  <c r="O141" i="141"/>
  <c r="J141" i="141" s="1"/>
  <c r="E141" i="141"/>
  <c r="O140" i="141"/>
  <c r="J140" i="141" s="1"/>
  <c r="F140" i="141"/>
  <c r="E140" i="141" s="1"/>
  <c r="O139" i="141"/>
  <c r="J139" i="141" s="1"/>
  <c r="H139" i="141"/>
  <c r="F139" i="141"/>
  <c r="F139" i="142" s="1"/>
  <c r="N138" i="141"/>
  <c r="N137" i="141" s="1"/>
  <c r="M138" i="141"/>
  <c r="M137" i="141" s="1"/>
  <c r="I138" i="141"/>
  <c r="I137" i="141" s="1"/>
  <c r="R136" i="141"/>
  <c r="O136" i="141"/>
  <c r="J136" i="141" s="1"/>
  <c r="F136" i="141"/>
  <c r="E136" i="141" s="1"/>
  <c r="O135" i="141"/>
  <c r="J135" i="141" s="1"/>
  <c r="E135" i="141"/>
  <c r="O134" i="141"/>
  <c r="J134" i="141" s="1"/>
  <c r="G134" i="141"/>
  <c r="G134" i="142" s="1"/>
  <c r="F134" i="141"/>
  <c r="O133" i="141"/>
  <c r="J133" i="141" s="1"/>
  <c r="E133" i="141"/>
  <c r="O132" i="141"/>
  <c r="J132" i="141" s="1"/>
  <c r="F132" i="141"/>
  <c r="O131" i="141"/>
  <c r="J131" i="141" s="1"/>
  <c r="E131" i="141"/>
  <c r="K130" i="141"/>
  <c r="K130" i="142" s="1"/>
  <c r="G130" i="141"/>
  <c r="G130" i="142" s="1"/>
  <c r="F130" i="141"/>
  <c r="O129" i="141"/>
  <c r="J129" i="141" s="1"/>
  <c r="E129" i="141"/>
  <c r="O128" i="141"/>
  <c r="J128" i="141" s="1"/>
  <c r="F128" i="141"/>
  <c r="O127" i="141"/>
  <c r="J127" i="141" s="1"/>
  <c r="F127" i="141"/>
  <c r="F127" i="142" s="1"/>
  <c r="K126" i="141"/>
  <c r="F126" i="141"/>
  <c r="M125" i="141"/>
  <c r="M122" i="141" s="1"/>
  <c r="M121" i="141" s="1"/>
  <c r="K125" i="141"/>
  <c r="O125" i="141" s="1"/>
  <c r="J125" i="141" s="1"/>
  <c r="G125" i="141"/>
  <c r="F125" i="141"/>
  <c r="O124" i="141"/>
  <c r="J124" i="141" s="1"/>
  <c r="F124" i="141"/>
  <c r="F124" i="142" s="1"/>
  <c r="R123" i="141"/>
  <c r="O123" i="141"/>
  <c r="J123" i="141" s="1"/>
  <c r="G123" i="141"/>
  <c r="F123" i="141"/>
  <c r="E123" i="141" s="1"/>
  <c r="N122" i="141"/>
  <c r="N121" i="141" s="1"/>
  <c r="L122" i="141"/>
  <c r="L121" i="141" s="1"/>
  <c r="I122" i="141"/>
  <c r="I121" i="141" s="1"/>
  <c r="H122" i="141"/>
  <c r="H121" i="141" s="1"/>
  <c r="K120" i="141"/>
  <c r="O120" i="141" s="1"/>
  <c r="J120" i="141" s="1"/>
  <c r="E120" i="141"/>
  <c r="O119" i="141"/>
  <c r="J119" i="141" s="1"/>
  <c r="F119" i="141"/>
  <c r="E119" i="141" s="1"/>
  <c r="O118" i="141"/>
  <c r="J118" i="141" s="1"/>
  <c r="F118" i="141"/>
  <c r="E118" i="141" s="1"/>
  <c r="K117" i="141"/>
  <c r="O117" i="141" s="1"/>
  <c r="J117" i="141" s="1"/>
  <c r="F117" i="141"/>
  <c r="E117" i="141" s="1"/>
  <c r="K116" i="141"/>
  <c r="O116" i="141" s="1"/>
  <c r="J116" i="141" s="1"/>
  <c r="E116" i="141"/>
  <c r="O115" i="141"/>
  <c r="J115" i="141" s="1"/>
  <c r="F115" i="141"/>
  <c r="E115" i="141" s="1"/>
  <c r="O114" i="141"/>
  <c r="J114" i="141" s="1"/>
  <c r="E114" i="141"/>
  <c r="K113" i="141"/>
  <c r="O113" i="141" s="1"/>
  <c r="H113" i="141"/>
  <c r="G113" i="141"/>
  <c r="G112" i="141" s="1"/>
  <c r="G111" i="141" s="1"/>
  <c r="F113" i="141"/>
  <c r="E113" i="141" s="1"/>
  <c r="N112" i="141"/>
  <c r="N111" i="141" s="1"/>
  <c r="M112" i="141"/>
  <c r="M111" i="141" s="1"/>
  <c r="L112" i="141"/>
  <c r="L111" i="141" s="1"/>
  <c r="I112" i="141"/>
  <c r="I111" i="141"/>
  <c r="O109" i="141"/>
  <c r="L109" i="141"/>
  <c r="E109" i="141"/>
  <c r="K108" i="141"/>
  <c r="O108" i="141" s="1"/>
  <c r="J108" i="141" s="1"/>
  <c r="E108" i="141"/>
  <c r="R107" i="141"/>
  <c r="O107" i="141"/>
  <c r="J107" i="141" s="1"/>
  <c r="E107" i="141"/>
  <c r="K106" i="141"/>
  <c r="E106" i="141"/>
  <c r="K105" i="141"/>
  <c r="F105" i="141"/>
  <c r="K104" i="141"/>
  <c r="K104" i="142" s="1"/>
  <c r="G104" i="141"/>
  <c r="G104" i="142" s="1"/>
  <c r="F104" i="141"/>
  <c r="O101" i="141"/>
  <c r="J101" i="141" s="1"/>
  <c r="F101" i="141"/>
  <c r="E101" i="141" s="1"/>
  <c r="R98" i="141"/>
  <c r="O98" i="141"/>
  <c r="J98" i="141" s="1"/>
  <c r="E98" i="141"/>
  <c r="R94" i="141"/>
  <c r="O94" i="141"/>
  <c r="J94" i="141" s="1"/>
  <c r="E94" i="141"/>
  <c r="R91" i="141"/>
  <c r="O91" i="141"/>
  <c r="J91" i="141" s="1"/>
  <c r="E91" i="141"/>
  <c r="O90" i="141"/>
  <c r="J90" i="141" s="1"/>
  <c r="G90" i="141"/>
  <c r="F90" i="141"/>
  <c r="E90" i="141" s="1"/>
  <c r="O89" i="141"/>
  <c r="J89" i="141" s="1"/>
  <c r="F89" i="141"/>
  <c r="E89" i="141" s="1"/>
  <c r="O88" i="141"/>
  <c r="J88" i="141" s="1"/>
  <c r="E88" i="141"/>
  <c r="O87" i="141"/>
  <c r="J87" i="141" s="1"/>
  <c r="E87" i="141"/>
  <c r="O86" i="141"/>
  <c r="J86" i="141" s="1"/>
  <c r="P86" i="141" s="1"/>
  <c r="E86" i="141"/>
  <c r="O85" i="141"/>
  <c r="J85" i="141" s="1"/>
  <c r="E85" i="141"/>
  <c r="O84" i="141"/>
  <c r="J84" i="141" s="1"/>
  <c r="G84" i="141"/>
  <c r="G84" i="142" s="1"/>
  <c r="F84" i="141"/>
  <c r="K83" i="141"/>
  <c r="O83" i="141" s="1"/>
  <c r="J83" i="141" s="1"/>
  <c r="G83" i="141"/>
  <c r="F83" i="141"/>
  <c r="O82" i="141"/>
  <c r="J82" i="141" s="1"/>
  <c r="F82" i="141"/>
  <c r="O81" i="141"/>
  <c r="J81" i="141" s="1"/>
  <c r="F81" i="141"/>
  <c r="E81" i="141" s="1"/>
  <c r="T79" i="141"/>
  <c r="O79" i="141"/>
  <c r="J79" i="141" s="1"/>
  <c r="R79" i="141" s="1"/>
  <c r="E79" i="141"/>
  <c r="Q79" i="141" s="1"/>
  <c r="O78" i="141"/>
  <c r="J78" i="141" s="1"/>
  <c r="F78" i="141"/>
  <c r="E78" i="141" s="1"/>
  <c r="O77" i="141"/>
  <c r="J77" i="141" s="1"/>
  <c r="F77" i="141"/>
  <c r="E77" i="141" s="1"/>
  <c r="O76" i="141"/>
  <c r="J76" i="141" s="1"/>
  <c r="F76" i="141"/>
  <c r="E76" i="141" s="1"/>
  <c r="O75" i="141"/>
  <c r="J75" i="141" s="1"/>
  <c r="E75" i="141"/>
  <c r="O74" i="141"/>
  <c r="J74" i="141" s="1"/>
  <c r="E74" i="141"/>
  <c r="O73" i="141"/>
  <c r="J73" i="141" s="1"/>
  <c r="E73" i="141"/>
  <c r="O72" i="141"/>
  <c r="J72" i="141" s="1"/>
  <c r="F72" i="141"/>
  <c r="E72" i="141" s="1"/>
  <c r="O71" i="141"/>
  <c r="J71" i="141" s="1"/>
  <c r="E71" i="141"/>
  <c r="O70" i="141"/>
  <c r="J70" i="141" s="1"/>
  <c r="E70" i="141"/>
  <c r="O69" i="141"/>
  <c r="J69" i="141" s="1"/>
  <c r="E69" i="141"/>
  <c r="O68" i="141"/>
  <c r="J68" i="141" s="1"/>
  <c r="E68" i="141"/>
  <c r="O67" i="141"/>
  <c r="J67" i="141" s="1"/>
  <c r="F67" i="141"/>
  <c r="E67" i="141" s="1"/>
  <c r="O66" i="141"/>
  <c r="J66" i="141" s="1"/>
  <c r="F66" i="141"/>
  <c r="E66" i="141" s="1"/>
  <c r="O65" i="141"/>
  <c r="J65" i="141" s="1"/>
  <c r="E65" i="141"/>
  <c r="O64" i="141"/>
  <c r="J64" i="141" s="1"/>
  <c r="F64" i="141"/>
  <c r="O63" i="141"/>
  <c r="J63" i="141" s="1"/>
  <c r="E63" i="141"/>
  <c r="O62" i="141"/>
  <c r="J62" i="141" s="1"/>
  <c r="E62" i="141"/>
  <c r="O61" i="141"/>
  <c r="J61" i="141" s="1"/>
  <c r="F61" i="141"/>
  <c r="R60" i="141"/>
  <c r="O60" i="141"/>
  <c r="J60" i="141" s="1"/>
  <c r="F60" i="141"/>
  <c r="F60" i="142" s="1"/>
  <c r="O59" i="141"/>
  <c r="J59" i="141" s="1"/>
  <c r="F59" i="141"/>
  <c r="O58" i="141"/>
  <c r="J58" i="141" s="1"/>
  <c r="E58" i="141"/>
  <c r="O57" i="141"/>
  <c r="J57" i="141" s="1"/>
  <c r="E57" i="141"/>
  <c r="O56" i="141"/>
  <c r="J56" i="141" s="1"/>
  <c r="F56" i="141"/>
  <c r="E56" i="141" s="1"/>
  <c r="K55" i="141"/>
  <c r="O55" i="141" s="1"/>
  <c r="J55" i="141" s="1"/>
  <c r="H55" i="141"/>
  <c r="F55" i="141"/>
  <c r="N54" i="141"/>
  <c r="N53" i="141" s="1"/>
  <c r="M54" i="141"/>
  <c r="M53" i="141" s="1"/>
  <c r="L54" i="141"/>
  <c r="L53" i="141" s="1"/>
  <c r="I54" i="141"/>
  <c r="I53" i="141" s="1"/>
  <c r="K52" i="141"/>
  <c r="F52" i="141"/>
  <c r="E52" i="141" s="1"/>
  <c r="K51" i="141"/>
  <c r="E51" i="141"/>
  <c r="O50" i="141"/>
  <c r="J50" i="141" s="1"/>
  <c r="F50" i="141"/>
  <c r="K49" i="141"/>
  <c r="O49" i="141" s="1"/>
  <c r="J49" i="141" s="1"/>
  <c r="H49" i="141"/>
  <c r="F49" i="141"/>
  <c r="O48" i="141"/>
  <c r="J48" i="141" s="1"/>
  <c r="E48" i="141"/>
  <c r="O47" i="141"/>
  <c r="J47" i="141" s="1"/>
  <c r="F47" i="141"/>
  <c r="O46" i="141"/>
  <c r="J46" i="141" s="1"/>
  <c r="F46" i="141"/>
  <c r="L45" i="141"/>
  <c r="K45" i="141"/>
  <c r="R45" i="141" s="1"/>
  <c r="F45" i="141"/>
  <c r="E45" i="141" s="1"/>
  <c r="L44" i="141"/>
  <c r="K44" i="141"/>
  <c r="O44" i="141" s="1"/>
  <c r="F44" i="141"/>
  <c r="R43" i="141"/>
  <c r="O43" i="141"/>
  <c r="L43" i="141"/>
  <c r="F43" i="141"/>
  <c r="L42" i="141"/>
  <c r="K42" i="141"/>
  <c r="K42" i="142" s="1"/>
  <c r="F42" i="141"/>
  <c r="O41" i="141"/>
  <c r="J41" i="141" s="1"/>
  <c r="E41" i="141"/>
  <c r="N40" i="141"/>
  <c r="N39" i="141" s="1"/>
  <c r="M40" i="141"/>
  <c r="M39" i="141" s="1"/>
  <c r="I40" i="141"/>
  <c r="I39" i="141" s="1"/>
  <c r="G40" i="141"/>
  <c r="G39" i="141" s="1"/>
  <c r="K38" i="141"/>
  <c r="O38" i="141" s="1"/>
  <c r="J38" i="141" s="1"/>
  <c r="F38" i="141"/>
  <c r="E38" i="141" s="1"/>
  <c r="R37" i="141"/>
  <c r="O37" i="141"/>
  <c r="J37" i="141" s="1"/>
  <c r="E37" i="141"/>
  <c r="O36" i="141"/>
  <c r="J36" i="141" s="1"/>
  <c r="E36" i="141"/>
  <c r="O35" i="141"/>
  <c r="J35" i="141" s="1"/>
  <c r="G35" i="141"/>
  <c r="E35" i="141"/>
  <c r="O34" i="141"/>
  <c r="J34" i="141" s="1"/>
  <c r="F34" i="141"/>
  <c r="E34" i="141" s="1"/>
  <c r="K33" i="141"/>
  <c r="O33" i="141" s="1"/>
  <c r="J33" i="141" s="1"/>
  <c r="H33" i="141"/>
  <c r="G33" i="141"/>
  <c r="F33" i="141"/>
  <c r="E33" i="141" s="1"/>
  <c r="O32" i="141"/>
  <c r="J32" i="141" s="1"/>
  <c r="G32" i="141"/>
  <c r="F32" i="141"/>
  <c r="E32" i="141" s="1"/>
  <c r="P32" i="141" s="1"/>
  <c r="N31" i="141"/>
  <c r="N26" i="141" s="1"/>
  <c r="N25" i="141" s="1"/>
  <c r="M31" i="141"/>
  <c r="L31" i="141"/>
  <c r="K31" i="141"/>
  <c r="H31" i="141"/>
  <c r="H31" i="142" s="1"/>
  <c r="G31" i="141"/>
  <c r="F31" i="141"/>
  <c r="M30" i="141"/>
  <c r="L30" i="141"/>
  <c r="K30" i="141"/>
  <c r="H30" i="141"/>
  <c r="H30" i="142" s="1"/>
  <c r="G30" i="141"/>
  <c r="F30" i="141"/>
  <c r="E30" i="141" s="1"/>
  <c r="K29" i="141"/>
  <c r="O29" i="141" s="1"/>
  <c r="J29" i="141" s="1"/>
  <c r="G29" i="141"/>
  <c r="F29" i="141"/>
  <c r="M28" i="141"/>
  <c r="L28" i="141"/>
  <c r="K28" i="141"/>
  <c r="H28" i="141"/>
  <c r="H28" i="142" s="1"/>
  <c r="G28" i="141"/>
  <c r="F28" i="141"/>
  <c r="M27" i="141"/>
  <c r="L27" i="141"/>
  <c r="K27" i="141"/>
  <c r="H27" i="141"/>
  <c r="H27" i="142" s="1"/>
  <c r="G27" i="141"/>
  <c r="F27" i="141"/>
  <c r="I26" i="141"/>
  <c r="I25" i="141" s="1"/>
  <c r="K24" i="141"/>
  <c r="O24" i="141" s="1"/>
  <c r="J24" i="141" s="1"/>
  <c r="F24" i="141"/>
  <c r="R23" i="141"/>
  <c r="O23" i="141"/>
  <c r="J23" i="141" s="1"/>
  <c r="E23" i="141"/>
  <c r="O22" i="141"/>
  <c r="J22" i="141" s="1"/>
  <c r="E22" i="141"/>
  <c r="P22" i="141" s="1"/>
  <c r="O21" i="141"/>
  <c r="J21" i="141" s="1"/>
  <c r="F21" i="141"/>
  <c r="E21" i="141" s="1"/>
  <c r="O19" i="141"/>
  <c r="L19" i="141"/>
  <c r="E19" i="141"/>
  <c r="O18" i="141"/>
  <c r="J18" i="141" s="1"/>
  <c r="E18" i="141"/>
  <c r="K17" i="141"/>
  <c r="O17" i="141" s="1"/>
  <c r="J17" i="141" s="1"/>
  <c r="G17" i="141"/>
  <c r="G14" i="141" s="1"/>
  <c r="E17" i="141"/>
  <c r="O16" i="141"/>
  <c r="J16" i="141" s="1"/>
  <c r="F16" i="141"/>
  <c r="E16" i="141" s="1"/>
  <c r="K15" i="141"/>
  <c r="O15" i="141" s="1"/>
  <c r="H15" i="141"/>
  <c r="F15" i="141"/>
  <c r="F15" i="142" s="1"/>
  <c r="N14" i="141"/>
  <c r="N13" i="141" s="1"/>
  <c r="M14" i="141"/>
  <c r="M13" i="141" s="1"/>
  <c r="I14" i="141"/>
  <c r="N130" i="97"/>
  <c r="N130" i="144" s="1"/>
  <c r="N122" i="144" s="1"/>
  <c r="N121" i="144" s="1"/>
  <c r="P66" i="141" l="1"/>
  <c r="K122" i="141"/>
  <c r="K121" i="141" s="1"/>
  <c r="E127" i="141"/>
  <c r="P133" i="141"/>
  <c r="P81" i="141"/>
  <c r="E181" i="141"/>
  <c r="E180" i="141" s="1"/>
  <c r="E60" i="141"/>
  <c r="P60" i="141" s="1"/>
  <c r="O130" i="141"/>
  <c r="J130" i="141" s="1"/>
  <c r="P130" i="141" s="1"/>
  <c r="E139" i="141"/>
  <c r="G192" i="141"/>
  <c r="G191" i="141" s="1"/>
  <c r="P131" i="141"/>
  <c r="P146" i="141"/>
  <c r="G26" i="141"/>
  <c r="G25" i="141" s="1"/>
  <c r="G28" i="142"/>
  <c r="E105" i="141"/>
  <c r="F105" i="142"/>
  <c r="E125" i="141"/>
  <c r="F125" i="142"/>
  <c r="E126" i="141"/>
  <c r="F126" i="142"/>
  <c r="E132" i="141"/>
  <c r="F132" i="142"/>
  <c r="E134" i="141"/>
  <c r="F134" i="142"/>
  <c r="E147" i="141"/>
  <c r="F147" i="142"/>
  <c r="G160" i="141"/>
  <c r="G159" i="141" s="1"/>
  <c r="G161" i="142"/>
  <c r="G160" i="142" s="1"/>
  <c r="G159" i="142" s="1"/>
  <c r="O164" i="141"/>
  <c r="J164" i="141" s="1"/>
  <c r="K164" i="142"/>
  <c r="O166" i="141"/>
  <c r="J166" i="141" s="1"/>
  <c r="K166" i="142"/>
  <c r="H192" i="141"/>
  <c r="H191" i="141" s="1"/>
  <c r="H194" i="142"/>
  <c r="H193" i="142" s="1"/>
  <c r="H192" i="142" s="1"/>
  <c r="E82" i="141"/>
  <c r="F82" i="142"/>
  <c r="L26" i="141"/>
  <c r="L25" i="141" s="1"/>
  <c r="E42" i="141"/>
  <c r="F42" i="142"/>
  <c r="E128" i="141"/>
  <c r="P128" i="141" s="1"/>
  <c r="F128" i="142"/>
  <c r="E130" i="141"/>
  <c r="F130" i="142"/>
  <c r="E142" i="141"/>
  <c r="F142" i="142"/>
  <c r="P145" i="141"/>
  <c r="O148" i="141"/>
  <c r="J148" i="141" s="1"/>
  <c r="P148" i="141" s="1"/>
  <c r="O152" i="141"/>
  <c r="J152" i="141" s="1"/>
  <c r="P152" i="141" s="1"/>
  <c r="K152" i="142"/>
  <c r="H160" i="141"/>
  <c r="H159" i="141" s="1"/>
  <c r="H161" i="142"/>
  <c r="H160" i="142" s="1"/>
  <c r="H159" i="142" s="1"/>
  <c r="L180" i="142"/>
  <c r="E44" i="141"/>
  <c r="F44" i="142"/>
  <c r="E49" i="141"/>
  <c r="F49" i="142"/>
  <c r="N122" i="97"/>
  <c r="N130" i="142"/>
  <c r="N122" i="142" s="1"/>
  <c r="N121" i="142" s="1"/>
  <c r="E27" i="141"/>
  <c r="F27" i="142"/>
  <c r="E29" i="141"/>
  <c r="F29" i="142"/>
  <c r="O31" i="141"/>
  <c r="K31" i="142"/>
  <c r="H40" i="141"/>
  <c r="H39" i="141" s="1"/>
  <c r="H49" i="142"/>
  <c r="H40" i="142" s="1"/>
  <c r="H39" i="142" s="1"/>
  <c r="E64" i="141"/>
  <c r="F64" i="142"/>
  <c r="P18" i="141"/>
  <c r="E24" i="141"/>
  <c r="F24" i="142"/>
  <c r="O28" i="141"/>
  <c r="J28" i="141" s="1"/>
  <c r="P28" i="141" s="1"/>
  <c r="K28" i="142"/>
  <c r="E31" i="141"/>
  <c r="F31" i="142"/>
  <c r="E46" i="141"/>
  <c r="P46" i="141" s="1"/>
  <c r="F46" i="142"/>
  <c r="O51" i="141"/>
  <c r="J51" i="141" s="1"/>
  <c r="K51" i="142"/>
  <c r="E55" i="141"/>
  <c r="P55" i="141" s="1"/>
  <c r="F55" i="142"/>
  <c r="E61" i="141"/>
  <c r="P61" i="141" s="1"/>
  <c r="F61" i="142"/>
  <c r="E83" i="141"/>
  <c r="F83" i="142"/>
  <c r="E84" i="141"/>
  <c r="P84" i="141" s="1"/>
  <c r="F84" i="142"/>
  <c r="O147" i="141"/>
  <c r="J147" i="141" s="1"/>
  <c r="K147" i="142"/>
  <c r="O161" i="141"/>
  <c r="K161" i="142"/>
  <c r="O163" i="141"/>
  <c r="J163" i="141" s="1"/>
  <c r="K163" i="142"/>
  <c r="G169" i="141"/>
  <c r="G168" i="141" s="1"/>
  <c r="G170" i="142"/>
  <c r="G169" i="142" s="1"/>
  <c r="G168" i="142" s="1"/>
  <c r="E188" i="141"/>
  <c r="F189" i="142"/>
  <c r="F188" i="142" s="1"/>
  <c r="F187" i="142" s="1"/>
  <c r="O27" i="141"/>
  <c r="J27" i="141" s="1"/>
  <c r="P27" i="141" s="1"/>
  <c r="K27" i="142"/>
  <c r="E43" i="141"/>
  <c r="F43" i="142"/>
  <c r="E47" i="141"/>
  <c r="F47" i="142"/>
  <c r="H14" i="141"/>
  <c r="H15" i="142"/>
  <c r="H14" i="142" s="1"/>
  <c r="E15" i="141"/>
  <c r="E14" i="141" s="1"/>
  <c r="E13" i="141" s="1"/>
  <c r="E28" i="141"/>
  <c r="E26" i="141" s="1"/>
  <c r="F28" i="142"/>
  <c r="P41" i="141"/>
  <c r="E50" i="141"/>
  <c r="P50" i="141" s="1"/>
  <c r="F50" i="142"/>
  <c r="H54" i="141"/>
  <c r="H53" i="141" s="1"/>
  <c r="H55" i="142"/>
  <c r="H54" i="142" s="1"/>
  <c r="H53" i="142" s="1"/>
  <c r="P77" i="141"/>
  <c r="G54" i="141"/>
  <c r="G53" i="141" s="1"/>
  <c r="G83" i="142"/>
  <c r="E104" i="141"/>
  <c r="F104" i="142"/>
  <c r="O104" i="141"/>
  <c r="J104" i="141" s="1"/>
  <c r="P104" i="141" s="1"/>
  <c r="O106" i="141"/>
  <c r="J106" i="141" s="1"/>
  <c r="P106" i="141" s="1"/>
  <c r="K106" i="142"/>
  <c r="H112" i="141"/>
  <c r="H111" i="141" s="1"/>
  <c r="H113" i="142"/>
  <c r="H112" i="142" s="1"/>
  <c r="H111" i="142" s="1"/>
  <c r="O155" i="141"/>
  <c r="J155" i="141" s="1"/>
  <c r="K155" i="142"/>
  <c r="E161" i="141"/>
  <c r="F161" i="142"/>
  <c r="F160" i="142" s="1"/>
  <c r="F159" i="142" s="1"/>
  <c r="I197" i="141"/>
  <c r="I206" i="141" s="1"/>
  <c r="P87" i="141"/>
  <c r="P16" i="141"/>
  <c r="P21" i="141"/>
  <c r="P85" i="141"/>
  <c r="J19" i="141"/>
  <c r="P19" i="141" s="1"/>
  <c r="Q19" i="141" s="1"/>
  <c r="P23" i="141"/>
  <c r="H26" i="141"/>
  <c r="H25" i="141" s="1"/>
  <c r="P36" i="141"/>
  <c r="O45" i="141"/>
  <c r="J45" i="141" s="1"/>
  <c r="P45" i="141" s="1"/>
  <c r="P48" i="141"/>
  <c r="P141" i="141"/>
  <c r="P144" i="141"/>
  <c r="P149" i="141"/>
  <c r="P153" i="141"/>
  <c r="P189" i="141"/>
  <c r="P90" i="141"/>
  <c r="P114" i="141"/>
  <c r="H138" i="141"/>
  <c r="H137" i="141" s="1"/>
  <c r="F174" i="141"/>
  <c r="F173" i="141" s="1"/>
  <c r="K174" i="141"/>
  <c r="K173" i="141" s="1"/>
  <c r="P24" i="141"/>
  <c r="P117" i="141"/>
  <c r="P150" i="141"/>
  <c r="E187" i="141"/>
  <c r="P188" i="141"/>
  <c r="P65" i="141"/>
  <c r="K14" i="141"/>
  <c r="K13" i="141" s="1"/>
  <c r="F14" i="141"/>
  <c r="M26" i="141"/>
  <c r="M25" i="141" s="1"/>
  <c r="J31" i="141"/>
  <c r="P31" i="141" s="1"/>
  <c r="R31" i="141"/>
  <c r="F40" i="141"/>
  <c r="F39" i="141" s="1"/>
  <c r="J44" i="141"/>
  <c r="P44" i="141" s="1"/>
  <c r="P49" i="141"/>
  <c r="P89" i="141"/>
  <c r="P91" i="141"/>
  <c r="J109" i="141"/>
  <c r="P109" i="141" s="1"/>
  <c r="Q109" i="141" s="1"/>
  <c r="P116" i="141"/>
  <c r="P139" i="141"/>
  <c r="P147" i="141"/>
  <c r="P163" i="141"/>
  <c r="O175" i="141"/>
  <c r="J175" i="141" s="1"/>
  <c r="P175" i="141" s="1"/>
  <c r="O187" i="141"/>
  <c r="O186" i="141" s="1"/>
  <c r="P190" i="141"/>
  <c r="P108" i="141"/>
  <c r="P29" i="141"/>
  <c r="P33" i="141"/>
  <c r="P35" i="141"/>
  <c r="P38" i="141"/>
  <c r="P75" i="141"/>
  <c r="P82" i="141"/>
  <c r="P98" i="141"/>
  <c r="P101" i="141"/>
  <c r="P115" i="141"/>
  <c r="P119" i="141"/>
  <c r="P127" i="141"/>
  <c r="G122" i="141"/>
  <c r="G121" i="141" s="1"/>
  <c r="P136" i="141"/>
  <c r="P143" i="141"/>
  <c r="P156" i="141"/>
  <c r="Q156" i="141" s="1"/>
  <c r="P158" i="141"/>
  <c r="P73" i="141"/>
  <c r="P17" i="141"/>
  <c r="I13" i="141"/>
  <c r="J43" i="141"/>
  <c r="P57" i="141"/>
  <c r="P63" i="141"/>
  <c r="P88" i="141"/>
  <c r="F112" i="141"/>
  <c r="P129" i="141"/>
  <c r="L138" i="141"/>
  <c r="L137" i="141" s="1"/>
  <c r="P155" i="141"/>
  <c r="P167" i="141"/>
  <c r="P196" i="141"/>
  <c r="P34" i="141"/>
  <c r="O14" i="141"/>
  <c r="J15" i="141"/>
  <c r="P15" i="141" s="1"/>
  <c r="F13" i="141"/>
  <c r="G13" i="141"/>
  <c r="H197" i="141"/>
  <c r="H206" i="141" s="1"/>
  <c r="H13" i="141"/>
  <c r="K138" i="141"/>
  <c r="O154" i="141"/>
  <c r="J154" i="141" s="1"/>
  <c r="P154" i="141" s="1"/>
  <c r="J161" i="141"/>
  <c r="P161" i="141" s="1"/>
  <c r="N197" i="141"/>
  <c r="N206" i="141" s="1"/>
  <c r="O30" i="141"/>
  <c r="P37" i="141"/>
  <c r="P47" i="141"/>
  <c r="P58" i="141"/>
  <c r="P64" i="141"/>
  <c r="P68" i="141"/>
  <c r="P70" i="141"/>
  <c r="P72" i="141"/>
  <c r="P76" i="141"/>
  <c r="P83" i="141"/>
  <c r="P94" i="141"/>
  <c r="P107" i="141"/>
  <c r="P118" i="141"/>
  <c r="J171" i="141"/>
  <c r="P51" i="141"/>
  <c r="E59" i="141"/>
  <c r="P59" i="141" s="1"/>
  <c r="F54" i="141"/>
  <c r="F53" i="141" s="1"/>
  <c r="R105" i="141"/>
  <c r="K54" i="141"/>
  <c r="O105" i="141"/>
  <c r="J105" i="141" s="1"/>
  <c r="P105" i="141" s="1"/>
  <c r="J113" i="141"/>
  <c r="P113" i="141" s="1"/>
  <c r="O112" i="141"/>
  <c r="F26" i="141"/>
  <c r="F25" i="141" s="1"/>
  <c r="P43" i="141"/>
  <c r="O52" i="141"/>
  <c r="J52" i="141" s="1"/>
  <c r="P52" i="141" s="1"/>
  <c r="P67" i="141"/>
  <c r="O174" i="141"/>
  <c r="K186" i="141"/>
  <c r="J187" i="141"/>
  <c r="J186" i="141" s="1"/>
  <c r="K192" i="141"/>
  <c r="O193" i="141"/>
  <c r="E195" i="141"/>
  <c r="P195" i="141" s="1"/>
  <c r="L14" i="141"/>
  <c r="K26" i="141"/>
  <c r="O42" i="141"/>
  <c r="K40" i="141"/>
  <c r="P56" i="141"/>
  <c r="P62" i="141"/>
  <c r="P69" i="141"/>
  <c r="P71" i="141"/>
  <c r="P74" i="141"/>
  <c r="P78" i="141"/>
  <c r="P120" i="141"/>
  <c r="P140" i="141"/>
  <c r="P166" i="141"/>
  <c r="P79" i="141"/>
  <c r="K112" i="141"/>
  <c r="E124" i="141"/>
  <c r="F122" i="141"/>
  <c r="F121" i="141" s="1"/>
  <c r="E151" i="141"/>
  <c r="P151" i="141" s="1"/>
  <c r="F138" i="141"/>
  <c r="F137" i="141" s="1"/>
  <c r="E162" i="141"/>
  <c r="P162" i="141" s="1"/>
  <c r="F160" i="141"/>
  <c r="F159" i="141" s="1"/>
  <c r="P176" i="141"/>
  <c r="E174" i="141"/>
  <c r="P177" i="141"/>
  <c r="J183" i="141"/>
  <c r="P183" i="141" s="1"/>
  <c r="L181" i="141"/>
  <c r="E186" i="141"/>
  <c r="E193" i="141"/>
  <c r="F192" i="141"/>
  <c r="F191" i="141" s="1"/>
  <c r="P194" i="141"/>
  <c r="L40" i="141"/>
  <c r="O126" i="141"/>
  <c r="J142" i="141"/>
  <c r="E170" i="141"/>
  <c r="F169" i="141"/>
  <c r="F168" i="141" s="1"/>
  <c r="K169" i="141"/>
  <c r="O172" i="141"/>
  <c r="J172" i="141" s="1"/>
  <c r="P172" i="141" s="1"/>
  <c r="L191" i="141"/>
  <c r="P123" i="141"/>
  <c r="P125" i="141"/>
  <c r="P132" i="141"/>
  <c r="P134" i="141"/>
  <c r="P135" i="141"/>
  <c r="P164" i="141"/>
  <c r="K160" i="141"/>
  <c r="O165" i="141"/>
  <c r="J165" i="141" s="1"/>
  <c r="P165" i="141" s="1"/>
  <c r="P171" i="141"/>
  <c r="P178" i="141"/>
  <c r="P179" i="141"/>
  <c r="J182" i="141"/>
  <c r="P182" i="141" s="1"/>
  <c r="O181" i="141"/>
  <c r="O180" i="141" s="1"/>
  <c r="P184" i="141"/>
  <c r="C66" i="126"/>
  <c r="C67" i="126"/>
  <c r="C52" i="126"/>
  <c r="C53" i="126"/>
  <c r="C54" i="126"/>
  <c r="C46" i="126"/>
  <c r="C20" i="126"/>
  <c r="C21" i="126"/>
  <c r="E122" i="141" l="1"/>
  <c r="O26" i="141"/>
  <c r="P187" i="141"/>
  <c r="P142" i="141"/>
  <c r="E40" i="141"/>
  <c r="H13" i="142"/>
  <c r="E54" i="141"/>
  <c r="G197" i="141"/>
  <c r="G206" i="141" s="1"/>
  <c r="M197" i="141"/>
  <c r="M206" i="141" s="1"/>
  <c r="E112" i="141"/>
  <c r="E111" i="141" s="1"/>
  <c r="F111" i="141"/>
  <c r="P124" i="141"/>
  <c r="O138" i="141"/>
  <c r="O40" i="141"/>
  <c r="O39" i="141" s="1"/>
  <c r="E160" i="141"/>
  <c r="O25" i="141"/>
  <c r="J26" i="141"/>
  <c r="J25" i="141" s="1"/>
  <c r="K25" i="141"/>
  <c r="J193" i="141"/>
  <c r="O192" i="141"/>
  <c r="O111" i="141"/>
  <c r="J112" i="141"/>
  <c r="E159" i="141"/>
  <c r="J30" i="141"/>
  <c r="P30" i="141" s="1"/>
  <c r="E169" i="141"/>
  <c r="P170" i="141"/>
  <c r="P193" i="141"/>
  <c r="E192" i="141"/>
  <c r="L180" i="141"/>
  <c r="J181" i="141"/>
  <c r="E173" i="141"/>
  <c r="K111" i="141"/>
  <c r="E39" i="141"/>
  <c r="K191" i="141"/>
  <c r="O169" i="141"/>
  <c r="O54" i="141"/>
  <c r="F197" i="141"/>
  <c r="F206" i="141" s="1"/>
  <c r="E25" i="141"/>
  <c r="L39" i="141"/>
  <c r="E138" i="141"/>
  <c r="K39" i="141"/>
  <c r="L197" i="141"/>
  <c r="L206" i="141" s="1"/>
  <c r="L13" i="141"/>
  <c r="J14" i="141"/>
  <c r="O173" i="141"/>
  <c r="J174" i="141"/>
  <c r="J173" i="141" s="1"/>
  <c r="O160" i="141"/>
  <c r="J42" i="141"/>
  <c r="P42" i="141" s="1"/>
  <c r="K159" i="141"/>
  <c r="K168" i="141"/>
  <c r="J126" i="141"/>
  <c r="P126" i="141" s="1"/>
  <c r="O122" i="141"/>
  <c r="Q187" i="141"/>
  <c r="P186" i="141"/>
  <c r="E121" i="141"/>
  <c r="K197" i="141"/>
  <c r="K206" i="141" s="1"/>
  <c r="K53" i="141"/>
  <c r="E53" i="141"/>
  <c r="K137" i="141"/>
  <c r="O13" i="141"/>
  <c r="J40" i="141" l="1"/>
  <c r="J39" i="141" s="1"/>
  <c r="O197" i="141"/>
  <c r="O206" i="141" s="1"/>
  <c r="O137" i="141"/>
  <c r="J138" i="141"/>
  <c r="J137" i="141" s="1"/>
  <c r="P26" i="141"/>
  <c r="P25" i="141" s="1"/>
  <c r="E168" i="141"/>
  <c r="J111" i="141"/>
  <c r="P112" i="141"/>
  <c r="J13" i="141"/>
  <c r="P14" i="141"/>
  <c r="O53" i="141"/>
  <c r="J54" i="141"/>
  <c r="P174" i="141"/>
  <c r="E191" i="141"/>
  <c r="J122" i="141"/>
  <c r="O121" i="141"/>
  <c r="O159" i="141"/>
  <c r="J160" i="141"/>
  <c r="E137" i="141"/>
  <c r="E197" i="141"/>
  <c r="Q26" i="141"/>
  <c r="O168" i="141"/>
  <c r="J169" i="141"/>
  <c r="J168" i="141" s="1"/>
  <c r="P40" i="141"/>
  <c r="O191" i="141"/>
  <c r="J192" i="141"/>
  <c r="J191" i="141" s="1"/>
  <c r="J180" i="141"/>
  <c r="P181" i="141"/>
  <c r="R37" i="97"/>
  <c r="J43" i="125"/>
  <c r="R94" i="97"/>
  <c r="O94" i="97"/>
  <c r="O94" i="144" s="1"/>
  <c r="E94" i="97"/>
  <c r="E94" i="142" l="1"/>
  <c r="E94" i="144"/>
  <c r="J94" i="97"/>
  <c r="O94" i="142"/>
  <c r="E207" i="141"/>
  <c r="E206" i="141"/>
  <c r="F207" i="141"/>
  <c r="P138" i="141"/>
  <c r="P137" i="141" s="1"/>
  <c r="Q174" i="141"/>
  <c r="P173" i="141"/>
  <c r="Q112" i="141"/>
  <c r="P111" i="141"/>
  <c r="Q181" i="141"/>
  <c r="P180" i="141"/>
  <c r="J121" i="141"/>
  <c r="P122" i="141"/>
  <c r="J53" i="141"/>
  <c r="P54" i="141"/>
  <c r="J197" i="141"/>
  <c r="J206" i="141" s="1"/>
  <c r="J159" i="141"/>
  <c r="P160" i="141"/>
  <c r="P192" i="141"/>
  <c r="P169" i="141"/>
  <c r="Q40" i="141"/>
  <c r="P39" i="141"/>
  <c r="P13" i="141"/>
  <c r="Q14" i="141"/>
  <c r="P94" i="97"/>
  <c r="F56" i="97"/>
  <c r="Q138" i="141" l="1"/>
  <c r="J94" i="142"/>
  <c r="J94" i="144"/>
  <c r="F56" i="142"/>
  <c r="P94" i="142"/>
  <c r="P94" i="144"/>
  <c r="P159" i="141"/>
  <c r="Q160" i="141"/>
  <c r="Q192" i="141"/>
  <c r="P191" i="141"/>
  <c r="P53" i="141"/>
  <c r="P197" i="141" s="1"/>
  <c r="Q54" i="141"/>
  <c r="P121" i="141"/>
  <c r="Q122" i="141"/>
  <c r="Q169" i="141"/>
  <c r="P168" i="141"/>
  <c r="O37" i="97"/>
  <c r="O37" i="144" s="1"/>
  <c r="E37" i="97"/>
  <c r="E37" i="144" s="1"/>
  <c r="E200" i="97"/>
  <c r="J37" i="97" l="1"/>
  <c r="J37" i="144" s="1"/>
  <c r="O37" i="142"/>
  <c r="H43" i="125"/>
  <c r="E37" i="142"/>
  <c r="P206" i="141"/>
  <c r="F209" i="141"/>
  <c r="P207" i="141"/>
  <c r="P37" i="97"/>
  <c r="F101" i="97"/>
  <c r="O194" i="140"/>
  <c r="N194" i="140"/>
  <c r="M194" i="140"/>
  <c r="L194" i="140"/>
  <c r="K194" i="140"/>
  <c r="J194" i="140"/>
  <c r="H194" i="140"/>
  <c r="G194" i="140"/>
  <c r="F194" i="140"/>
  <c r="E194" i="140" s="1"/>
  <c r="O191" i="140"/>
  <c r="J191" i="140" s="1"/>
  <c r="E191" i="140"/>
  <c r="O190" i="140"/>
  <c r="J190" i="140" s="1"/>
  <c r="F190" i="140"/>
  <c r="E190" i="140" s="1"/>
  <c r="O189" i="140"/>
  <c r="J189" i="140" s="1"/>
  <c r="E189" i="140"/>
  <c r="K188" i="140"/>
  <c r="O188" i="140" s="1"/>
  <c r="H188" i="140"/>
  <c r="G188" i="140"/>
  <c r="F188" i="140"/>
  <c r="N187" i="140"/>
  <c r="M187" i="140"/>
  <c r="M186" i="140" s="1"/>
  <c r="L187" i="140"/>
  <c r="L186" i="140" s="1"/>
  <c r="I187" i="140"/>
  <c r="I186" i="140" s="1"/>
  <c r="N186" i="140"/>
  <c r="O185" i="140"/>
  <c r="J185" i="140" s="1"/>
  <c r="E185" i="140"/>
  <c r="O184" i="140"/>
  <c r="J184" i="140" s="1"/>
  <c r="E184" i="140"/>
  <c r="O183" i="140"/>
  <c r="F183" i="140"/>
  <c r="F189" i="144" s="1"/>
  <c r="F188" i="144" s="1"/>
  <c r="F187" i="144" s="1"/>
  <c r="N182" i="140"/>
  <c r="N181" i="140" s="1"/>
  <c r="M182" i="140"/>
  <c r="M181" i="140" s="1"/>
  <c r="L182" i="140"/>
  <c r="K182" i="140"/>
  <c r="I182" i="140"/>
  <c r="I181" i="140" s="1"/>
  <c r="H182" i="140"/>
  <c r="H181" i="140" s="1"/>
  <c r="G182" i="140"/>
  <c r="G181" i="140" s="1"/>
  <c r="K181" i="140"/>
  <c r="O180" i="140"/>
  <c r="J180" i="140" s="1"/>
  <c r="P180" i="140" s="1"/>
  <c r="O179" i="140"/>
  <c r="E179" i="140"/>
  <c r="O178" i="140"/>
  <c r="L178" i="140"/>
  <c r="E178" i="140"/>
  <c r="O177" i="140"/>
  <c r="J177" i="140" s="1"/>
  <c r="F177" i="140"/>
  <c r="N176" i="140"/>
  <c r="N175" i="140" s="1"/>
  <c r="M176" i="140"/>
  <c r="M175" i="140" s="1"/>
  <c r="K176" i="140"/>
  <c r="K175" i="140" s="1"/>
  <c r="I176" i="140"/>
  <c r="I175" i="140" s="1"/>
  <c r="H176" i="140"/>
  <c r="H175" i="140" s="1"/>
  <c r="G176" i="140"/>
  <c r="G175" i="140" s="1"/>
  <c r="K174" i="140"/>
  <c r="O174" i="140" s="1"/>
  <c r="J174" i="140" s="1"/>
  <c r="E174" i="140"/>
  <c r="K173" i="140"/>
  <c r="F173" i="140"/>
  <c r="E173" i="140" s="1"/>
  <c r="O172" i="140"/>
  <c r="J172" i="140" s="1"/>
  <c r="F172" i="140"/>
  <c r="E172" i="140" s="1"/>
  <c r="K171" i="140"/>
  <c r="F171" i="140"/>
  <c r="K170" i="140"/>
  <c r="O170" i="140" s="1"/>
  <c r="J170" i="140" s="1"/>
  <c r="E170" i="140"/>
  <c r="N169" i="140"/>
  <c r="N168" i="140" s="1"/>
  <c r="M169" i="140"/>
  <c r="M168" i="140" s="1"/>
  <c r="L169" i="140"/>
  <c r="L168" i="140" s="1"/>
  <c r="I169" i="140"/>
  <c r="I168" i="140" s="1"/>
  <c r="H169" i="140"/>
  <c r="H168" i="140" s="1"/>
  <c r="G169" i="140"/>
  <c r="G168" i="140" s="1"/>
  <c r="K167" i="140"/>
  <c r="O167" i="140" s="1"/>
  <c r="E167" i="140"/>
  <c r="O166" i="140"/>
  <c r="J166" i="140" s="1"/>
  <c r="E166" i="140"/>
  <c r="R165" i="140"/>
  <c r="O165" i="140"/>
  <c r="J165" i="140" s="1"/>
  <c r="G165" i="140"/>
  <c r="F165" i="140"/>
  <c r="N164" i="140"/>
  <c r="N163" i="140" s="1"/>
  <c r="M164" i="140"/>
  <c r="M163" i="140" s="1"/>
  <c r="L164" i="140"/>
  <c r="L163" i="140" s="1"/>
  <c r="I164" i="140"/>
  <c r="I163" i="140" s="1"/>
  <c r="H164" i="140"/>
  <c r="F164" i="140"/>
  <c r="F163" i="140" s="1"/>
  <c r="H163" i="140"/>
  <c r="K162" i="140"/>
  <c r="O162" i="140" s="1"/>
  <c r="J162" i="140" s="1"/>
  <c r="E162" i="140"/>
  <c r="K161" i="140"/>
  <c r="E161" i="140"/>
  <c r="K160" i="140"/>
  <c r="E160" i="140"/>
  <c r="K159" i="140"/>
  <c r="E159" i="140"/>
  <c r="K158" i="140"/>
  <c r="E158" i="140"/>
  <c r="O157" i="140"/>
  <c r="J157" i="140" s="1"/>
  <c r="F157" i="140"/>
  <c r="K156" i="140"/>
  <c r="H156" i="140"/>
  <c r="G156" i="140"/>
  <c r="F156" i="140"/>
  <c r="N155" i="140"/>
  <c r="N154" i="140" s="1"/>
  <c r="M155" i="140"/>
  <c r="M154" i="140" s="1"/>
  <c r="L155" i="140"/>
  <c r="L154" i="140" s="1"/>
  <c r="I155" i="140"/>
  <c r="I154" i="140" s="1"/>
  <c r="O153" i="140"/>
  <c r="J153" i="140" s="1"/>
  <c r="G153" i="140"/>
  <c r="G133" i="140" s="1"/>
  <c r="G132" i="140" s="1"/>
  <c r="F153" i="140"/>
  <c r="E153" i="140" s="1"/>
  <c r="O151" i="140"/>
  <c r="L151" i="140"/>
  <c r="L133" i="140" s="1"/>
  <c r="L132" i="140" s="1"/>
  <c r="E151" i="140"/>
  <c r="K150" i="140"/>
  <c r="E150" i="140"/>
  <c r="K149" i="140"/>
  <c r="O149" i="140" s="1"/>
  <c r="J149" i="140" s="1"/>
  <c r="F149" i="140"/>
  <c r="E149" i="140" s="1"/>
  <c r="O148" i="140"/>
  <c r="J148" i="140" s="1"/>
  <c r="E148" i="140"/>
  <c r="K147" i="140"/>
  <c r="K152" i="144" s="1"/>
  <c r="E147" i="140"/>
  <c r="O146" i="140"/>
  <c r="J146" i="140" s="1"/>
  <c r="F146" i="140"/>
  <c r="O145" i="140"/>
  <c r="J145" i="140" s="1"/>
  <c r="F145" i="140"/>
  <c r="E145" i="140" s="1"/>
  <c r="O144" i="140"/>
  <c r="J144" i="140" s="1"/>
  <c r="E144" i="140"/>
  <c r="K143" i="140"/>
  <c r="E143" i="140"/>
  <c r="K142" i="140"/>
  <c r="H142" i="140"/>
  <c r="F142" i="140"/>
  <c r="O141" i="140"/>
  <c r="J141" i="140" s="1"/>
  <c r="F141" i="140"/>
  <c r="E141" i="140" s="1"/>
  <c r="K140" i="140"/>
  <c r="O140" i="140" s="1"/>
  <c r="J140" i="140" s="1"/>
  <c r="E140" i="140"/>
  <c r="K139" i="140"/>
  <c r="E139" i="140"/>
  <c r="O138" i="140"/>
  <c r="J138" i="140" s="1"/>
  <c r="F138" i="140"/>
  <c r="E138" i="140" s="1"/>
  <c r="O137" i="140"/>
  <c r="J137" i="140" s="1"/>
  <c r="F137" i="140"/>
  <c r="O136" i="140"/>
  <c r="J136" i="140" s="1"/>
  <c r="E136" i="140"/>
  <c r="O135" i="140"/>
  <c r="J135" i="140" s="1"/>
  <c r="F135" i="140"/>
  <c r="O134" i="140"/>
  <c r="J134" i="140" s="1"/>
  <c r="H134" i="140"/>
  <c r="F134" i="140"/>
  <c r="N133" i="140"/>
  <c r="N132" i="140" s="1"/>
  <c r="M133" i="140"/>
  <c r="M132" i="140" s="1"/>
  <c r="I133" i="140"/>
  <c r="I132" i="140" s="1"/>
  <c r="R131" i="140"/>
  <c r="O131" i="140"/>
  <c r="J131" i="140" s="1"/>
  <c r="F131" i="140"/>
  <c r="E131" i="140" s="1"/>
  <c r="O130" i="140"/>
  <c r="J130" i="140" s="1"/>
  <c r="E130" i="140"/>
  <c r="O129" i="140"/>
  <c r="J129" i="140" s="1"/>
  <c r="G129" i="140"/>
  <c r="G134" i="144" s="1"/>
  <c r="F129" i="140"/>
  <c r="O128" i="140"/>
  <c r="J128" i="140" s="1"/>
  <c r="E128" i="140"/>
  <c r="O127" i="140"/>
  <c r="J127" i="140" s="1"/>
  <c r="F127" i="140"/>
  <c r="O126" i="140"/>
  <c r="J126" i="140" s="1"/>
  <c r="E126" i="140"/>
  <c r="K125" i="140"/>
  <c r="G125" i="140"/>
  <c r="G130" i="144" s="1"/>
  <c r="F125" i="140"/>
  <c r="O124" i="140"/>
  <c r="J124" i="140" s="1"/>
  <c r="E124" i="140"/>
  <c r="O123" i="140"/>
  <c r="J123" i="140" s="1"/>
  <c r="F123" i="140"/>
  <c r="O122" i="140"/>
  <c r="J122" i="140" s="1"/>
  <c r="F122" i="140"/>
  <c r="K121" i="140"/>
  <c r="F121" i="140"/>
  <c r="M120" i="140"/>
  <c r="M117" i="140" s="1"/>
  <c r="M116" i="140" s="1"/>
  <c r="K120" i="140"/>
  <c r="O120" i="140" s="1"/>
  <c r="J120" i="140" s="1"/>
  <c r="G120" i="140"/>
  <c r="F120" i="140"/>
  <c r="O119" i="140"/>
  <c r="J119" i="140" s="1"/>
  <c r="F119" i="140"/>
  <c r="F124" i="144" s="1"/>
  <c r="R118" i="140"/>
  <c r="O118" i="140"/>
  <c r="J118" i="140" s="1"/>
  <c r="G118" i="140"/>
  <c r="F118" i="140"/>
  <c r="E118" i="140" s="1"/>
  <c r="N117" i="140"/>
  <c r="N116" i="140" s="1"/>
  <c r="L117" i="140"/>
  <c r="L116" i="140" s="1"/>
  <c r="I117" i="140"/>
  <c r="I116" i="140" s="1"/>
  <c r="H117" i="140"/>
  <c r="H116" i="140" s="1"/>
  <c r="K115" i="140"/>
  <c r="E115" i="140"/>
  <c r="O114" i="140"/>
  <c r="J114" i="140" s="1"/>
  <c r="F114" i="140"/>
  <c r="E114" i="140" s="1"/>
  <c r="O113" i="140"/>
  <c r="J113" i="140" s="1"/>
  <c r="F113" i="140"/>
  <c r="E113" i="140" s="1"/>
  <c r="K112" i="140"/>
  <c r="F112" i="140"/>
  <c r="E112" i="140" s="1"/>
  <c r="K111" i="140"/>
  <c r="O111" i="140" s="1"/>
  <c r="J111" i="140" s="1"/>
  <c r="E111" i="140"/>
  <c r="O110" i="140"/>
  <c r="J110" i="140" s="1"/>
  <c r="F110" i="140"/>
  <c r="E110" i="140" s="1"/>
  <c r="O109" i="140"/>
  <c r="J109" i="140" s="1"/>
  <c r="E109" i="140"/>
  <c r="K108" i="140"/>
  <c r="H108" i="140"/>
  <c r="G108" i="140"/>
  <c r="G107" i="140" s="1"/>
  <c r="G106" i="140" s="1"/>
  <c r="F108" i="140"/>
  <c r="N107" i="140"/>
  <c r="N106" i="140" s="1"/>
  <c r="M107" i="140"/>
  <c r="M106" i="140" s="1"/>
  <c r="L107" i="140"/>
  <c r="L106" i="140" s="1"/>
  <c r="I107" i="140"/>
  <c r="I106" i="140" s="1"/>
  <c r="O104" i="140"/>
  <c r="L104" i="140"/>
  <c r="L53" i="140" s="1"/>
  <c r="L52" i="140" s="1"/>
  <c r="E104" i="140"/>
  <c r="K103" i="140"/>
  <c r="O103" i="140" s="1"/>
  <c r="J103" i="140" s="1"/>
  <c r="E103" i="140"/>
  <c r="R102" i="140"/>
  <c r="O102" i="140"/>
  <c r="J102" i="140" s="1"/>
  <c r="E102" i="140"/>
  <c r="K101" i="140"/>
  <c r="K106" i="144" s="1"/>
  <c r="E101" i="140"/>
  <c r="K100" i="140"/>
  <c r="O100" i="140" s="1"/>
  <c r="J100" i="140" s="1"/>
  <c r="F100" i="140"/>
  <c r="K99" i="140"/>
  <c r="G99" i="140"/>
  <c r="G104" i="144" s="1"/>
  <c r="F99" i="140"/>
  <c r="O96" i="140"/>
  <c r="J96" i="140" s="1"/>
  <c r="E96" i="140"/>
  <c r="R93" i="140"/>
  <c r="O93" i="140"/>
  <c r="J93" i="140" s="1"/>
  <c r="E93" i="140"/>
  <c r="R90" i="140"/>
  <c r="O90" i="140"/>
  <c r="J90" i="140" s="1"/>
  <c r="E90" i="140"/>
  <c r="O89" i="140"/>
  <c r="J89" i="140" s="1"/>
  <c r="G89" i="140"/>
  <c r="F89" i="140"/>
  <c r="E89" i="140" s="1"/>
  <c r="O88" i="140"/>
  <c r="J88" i="140" s="1"/>
  <c r="F88" i="140"/>
  <c r="E88" i="140" s="1"/>
  <c r="O87" i="140"/>
  <c r="J87" i="140" s="1"/>
  <c r="E87" i="140"/>
  <c r="O86" i="140"/>
  <c r="J86" i="140" s="1"/>
  <c r="E86" i="140"/>
  <c r="O85" i="140"/>
  <c r="J85" i="140" s="1"/>
  <c r="E85" i="140"/>
  <c r="O84" i="140"/>
  <c r="J84" i="140" s="1"/>
  <c r="E84" i="140"/>
  <c r="O83" i="140"/>
  <c r="J83" i="140" s="1"/>
  <c r="G83" i="140"/>
  <c r="G84" i="144" s="1"/>
  <c r="F83" i="140"/>
  <c r="K82" i="140"/>
  <c r="O82" i="140" s="1"/>
  <c r="J82" i="140" s="1"/>
  <c r="G82" i="140"/>
  <c r="G83" i="144" s="1"/>
  <c r="F82" i="140"/>
  <c r="O81" i="140"/>
  <c r="J81" i="140" s="1"/>
  <c r="F81" i="140"/>
  <c r="O80" i="140"/>
  <c r="J80" i="140" s="1"/>
  <c r="F80" i="140"/>
  <c r="E80" i="140" s="1"/>
  <c r="T78" i="140"/>
  <c r="O78" i="140"/>
  <c r="J78" i="140" s="1"/>
  <c r="R78" i="140" s="1"/>
  <c r="E78" i="140"/>
  <c r="Q78" i="140" s="1"/>
  <c r="O77" i="140"/>
  <c r="J77" i="140" s="1"/>
  <c r="F77" i="140"/>
  <c r="E77" i="140" s="1"/>
  <c r="O76" i="140"/>
  <c r="J76" i="140" s="1"/>
  <c r="F76" i="140"/>
  <c r="E76" i="140" s="1"/>
  <c r="O75" i="140"/>
  <c r="J75" i="140" s="1"/>
  <c r="F75" i="140"/>
  <c r="E75" i="140" s="1"/>
  <c r="O74" i="140"/>
  <c r="J74" i="140" s="1"/>
  <c r="E74" i="140"/>
  <c r="O73" i="140"/>
  <c r="J73" i="140" s="1"/>
  <c r="E73" i="140"/>
  <c r="O72" i="140"/>
  <c r="J72" i="140" s="1"/>
  <c r="E72" i="140"/>
  <c r="O71" i="140"/>
  <c r="J71" i="140" s="1"/>
  <c r="F71" i="140"/>
  <c r="E71" i="140" s="1"/>
  <c r="O70" i="140"/>
  <c r="J70" i="140" s="1"/>
  <c r="E70" i="140"/>
  <c r="O69" i="140"/>
  <c r="J69" i="140" s="1"/>
  <c r="E69" i="140"/>
  <c r="O68" i="140"/>
  <c r="J68" i="140" s="1"/>
  <c r="E68" i="140"/>
  <c r="O67" i="140"/>
  <c r="J67" i="140" s="1"/>
  <c r="E67" i="140"/>
  <c r="O66" i="140"/>
  <c r="J66" i="140" s="1"/>
  <c r="F66" i="140"/>
  <c r="E66" i="140" s="1"/>
  <c r="O65" i="140"/>
  <c r="J65" i="140" s="1"/>
  <c r="F65" i="140"/>
  <c r="E65" i="140" s="1"/>
  <c r="O64" i="140"/>
  <c r="J64" i="140" s="1"/>
  <c r="E64" i="140"/>
  <c r="O63" i="140"/>
  <c r="J63" i="140" s="1"/>
  <c r="F63" i="140"/>
  <c r="O62" i="140"/>
  <c r="J62" i="140" s="1"/>
  <c r="E62" i="140"/>
  <c r="O61" i="140"/>
  <c r="J61" i="140" s="1"/>
  <c r="E61" i="140"/>
  <c r="O60" i="140"/>
  <c r="J60" i="140" s="1"/>
  <c r="F60" i="140"/>
  <c r="R59" i="140"/>
  <c r="O59" i="140"/>
  <c r="J59" i="140" s="1"/>
  <c r="F59" i="140"/>
  <c r="O58" i="140"/>
  <c r="J58" i="140" s="1"/>
  <c r="F58" i="140"/>
  <c r="O57" i="140"/>
  <c r="J57" i="140" s="1"/>
  <c r="E57" i="140"/>
  <c r="O56" i="140"/>
  <c r="J56" i="140" s="1"/>
  <c r="E56" i="140"/>
  <c r="O55" i="140"/>
  <c r="J55" i="140" s="1"/>
  <c r="F55" i="140"/>
  <c r="K54" i="140"/>
  <c r="H54" i="140"/>
  <c r="F54" i="140"/>
  <c r="N53" i="140"/>
  <c r="N52" i="140" s="1"/>
  <c r="M53" i="140"/>
  <c r="M52" i="140" s="1"/>
  <c r="I53" i="140"/>
  <c r="I52" i="140" s="1"/>
  <c r="K51" i="140"/>
  <c r="F51" i="140"/>
  <c r="E51" i="140" s="1"/>
  <c r="K50" i="140"/>
  <c r="E50" i="140"/>
  <c r="O49" i="140"/>
  <c r="J49" i="140" s="1"/>
  <c r="F49" i="140"/>
  <c r="K48" i="140"/>
  <c r="H48" i="140"/>
  <c r="F48" i="140"/>
  <c r="O47" i="140"/>
  <c r="J47" i="140" s="1"/>
  <c r="E47" i="140"/>
  <c r="O46" i="140"/>
  <c r="J46" i="140" s="1"/>
  <c r="F46" i="140"/>
  <c r="O45" i="140"/>
  <c r="J45" i="140" s="1"/>
  <c r="F45" i="140"/>
  <c r="L44" i="140"/>
  <c r="K44" i="140"/>
  <c r="R44" i="140" s="1"/>
  <c r="F44" i="140"/>
  <c r="E44" i="140" s="1"/>
  <c r="L43" i="140"/>
  <c r="K43" i="140"/>
  <c r="F43" i="140"/>
  <c r="R42" i="140"/>
  <c r="O42" i="140"/>
  <c r="L42" i="140"/>
  <c r="F42" i="140"/>
  <c r="L41" i="140"/>
  <c r="K41" i="140"/>
  <c r="F41" i="140"/>
  <c r="O40" i="140"/>
  <c r="J40" i="140" s="1"/>
  <c r="E40" i="140"/>
  <c r="N39" i="140"/>
  <c r="N38" i="140" s="1"/>
  <c r="M39" i="140"/>
  <c r="M38" i="140" s="1"/>
  <c r="I39" i="140"/>
  <c r="I38" i="140" s="1"/>
  <c r="G39" i="140"/>
  <c r="G38" i="140" s="1"/>
  <c r="K37" i="140"/>
  <c r="F37" i="140"/>
  <c r="E37" i="140" s="1"/>
  <c r="O36" i="140"/>
  <c r="J36" i="140" s="1"/>
  <c r="E36" i="140"/>
  <c r="O35" i="140"/>
  <c r="J35" i="140" s="1"/>
  <c r="G35" i="140"/>
  <c r="E35" i="140"/>
  <c r="O34" i="140"/>
  <c r="J34" i="140" s="1"/>
  <c r="F34" i="140"/>
  <c r="E34" i="140" s="1"/>
  <c r="K33" i="140"/>
  <c r="O33" i="140" s="1"/>
  <c r="J33" i="140" s="1"/>
  <c r="H33" i="140"/>
  <c r="G33" i="140"/>
  <c r="F33" i="140"/>
  <c r="E33" i="140" s="1"/>
  <c r="O32" i="140"/>
  <c r="J32" i="140" s="1"/>
  <c r="G32" i="140"/>
  <c r="F32" i="140"/>
  <c r="E32" i="140" s="1"/>
  <c r="N31" i="140"/>
  <c r="M31" i="140"/>
  <c r="L31" i="140"/>
  <c r="K31" i="140"/>
  <c r="H31" i="140"/>
  <c r="H31" i="144" s="1"/>
  <c r="G31" i="140"/>
  <c r="F31" i="140"/>
  <c r="M30" i="140"/>
  <c r="L30" i="140"/>
  <c r="K30" i="140"/>
  <c r="O30" i="140" s="1"/>
  <c r="H30" i="140"/>
  <c r="H30" i="144" s="1"/>
  <c r="G30" i="140"/>
  <c r="F30" i="140"/>
  <c r="E30" i="140" s="1"/>
  <c r="K29" i="140"/>
  <c r="G29" i="140"/>
  <c r="F29" i="140"/>
  <c r="N28" i="140"/>
  <c r="M28" i="140"/>
  <c r="L28" i="140"/>
  <c r="K28" i="140"/>
  <c r="K28" i="144" s="1"/>
  <c r="H28" i="140"/>
  <c r="H28" i="144" s="1"/>
  <c r="G28" i="140"/>
  <c r="G28" i="144" s="1"/>
  <c r="F28" i="140"/>
  <c r="M27" i="140"/>
  <c r="L27" i="140"/>
  <c r="K27" i="140"/>
  <c r="K27" i="144" s="1"/>
  <c r="H27" i="140"/>
  <c r="H27" i="144" s="1"/>
  <c r="G27" i="140"/>
  <c r="F27" i="140"/>
  <c r="I26" i="140"/>
  <c r="I25" i="140" s="1"/>
  <c r="K24" i="140"/>
  <c r="O24" i="140" s="1"/>
  <c r="J24" i="140" s="1"/>
  <c r="F24" i="140"/>
  <c r="R23" i="140"/>
  <c r="O23" i="140"/>
  <c r="J23" i="140" s="1"/>
  <c r="E23" i="140"/>
  <c r="O22" i="140"/>
  <c r="J22" i="140" s="1"/>
  <c r="E22" i="140"/>
  <c r="O21" i="140"/>
  <c r="J21" i="140" s="1"/>
  <c r="F21" i="140"/>
  <c r="E21" i="140" s="1"/>
  <c r="O19" i="140"/>
  <c r="L19" i="140"/>
  <c r="L14" i="140" s="1"/>
  <c r="L13" i="140" s="1"/>
  <c r="E19" i="140"/>
  <c r="O18" i="140"/>
  <c r="J18" i="140" s="1"/>
  <c r="E18" i="140"/>
  <c r="K17" i="140"/>
  <c r="G17" i="140"/>
  <c r="G14" i="140" s="1"/>
  <c r="G13" i="140" s="1"/>
  <c r="E17" i="140"/>
  <c r="O16" i="140"/>
  <c r="J16" i="140" s="1"/>
  <c r="F16" i="140"/>
  <c r="E16" i="140" s="1"/>
  <c r="K15" i="140"/>
  <c r="H15" i="140"/>
  <c r="F15" i="140"/>
  <c r="F15" i="144" s="1"/>
  <c r="N14" i="140"/>
  <c r="N13" i="140" s="1"/>
  <c r="M14" i="140"/>
  <c r="M13" i="140" s="1"/>
  <c r="I14" i="140"/>
  <c r="I13" i="140" s="1"/>
  <c r="O50" i="140" l="1"/>
  <c r="J50" i="140" s="1"/>
  <c r="K51" i="144"/>
  <c r="O99" i="140"/>
  <c r="J99" i="140" s="1"/>
  <c r="P99" i="140" s="1"/>
  <c r="K104" i="144"/>
  <c r="E142" i="140"/>
  <c r="F147" i="144"/>
  <c r="O143" i="140"/>
  <c r="J143" i="140" s="1"/>
  <c r="K148" i="144"/>
  <c r="H155" i="140"/>
  <c r="H154" i="140" s="1"/>
  <c r="H161" i="144"/>
  <c r="H160" i="144" s="1"/>
  <c r="H159" i="144" s="1"/>
  <c r="E177" i="140"/>
  <c r="P177" i="140" s="1"/>
  <c r="F182" i="144"/>
  <c r="F181" i="144" s="1"/>
  <c r="F180" i="144" s="1"/>
  <c r="E188" i="140"/>
  <c r="F194" i="144"/>
  <c r="P37" i="142"/>
  <c r="P37" i="144"/>
  <c r="O41" i="140"/>
  <c r="K42" i="144"/>
  <c r="E45" i="140"/>
  <c r="F46" i="144"/>
  <c r="H14" i="140"/>
  <c r="H13" i="140" s="1"/>
  <c r="H15" i="144"/>
  <c r="H14" i="144" s="1"/>
  <c r="E24" i="140"/>
  <c r="F24" i="144"/>
  <c r="E29" i="140"/>
  <c r="F29" i="144"/>
  <c r="R31" i="140"/>
  <c r="K31" i="144"/>
  <c r="E49" i="140"/>
  <c r="F50" i="144"/>
  <c r="E55" i="140"/>
  <c r="F56" i="144"/>
  <c r="E59" i="140"/>
  <c r="F60" i="144"/>
  <c r="E81" i="140"/>
  <c r="P81" i="140" s="1"/>
  <c r="F82" i="144"/>
  <c r="E100" i="140"/>
  <c r="F105" i="144"/>
  <c r="E120" i="140"/>
  <c r="F125" i="144"/>
  <c r="E121" i="140"/>
  <c r="F126" i="144"/>
  <c r="E123" i="140"/>
  <c r="P123" i="140" s="1"/>
  <c r="F128" i="144"/>
  <c r="E125" i="140"/>
  <c r="F130" i="144"/>
  <c r="E146" i="140"/>
  <c r="P146" i="140" s="1"/>
  <c r="F151" i="144"/>
  <c r="O147" i="140"/>
  <c r="J147" i="140" s="1"/>
  <c r="O156" i="140"/>
  <c r="K161" i="144"/>
  <c r="O158" i="140"/>
  <c r="J158" i="140" s="1"/>
  <c r="P158" i="140" s="1"/>
  <c r="K163" i="144"/>
  <c r="O160" i="140"/>
  <c r="J160" i="140" s="1"/>
  <c r="K165" i="144"/>
  <c r="G187" i="140"/>
  <c r="G186" i="140" s="1"/>
  <c r="G194" i="144"/>
  <c r="G193" i="144" s="1"/>
  <c r="G192" i="144" s="1"/>
  <c r="N26" i="140"/>
  <c r="N28" i="144"/>
  <c r="E28" i="140"/>
  <c r="E26" i="140" s="1"/>
  <c r="F28" i="144"/>
  <c r="E31" i="140"/>
  <c r="F31" i="144"/>
  <c r="E42" i="140"/>
  <c r="F43" i="144"/>
  <c r="E43" i="140"/>
  <c r="F44" i="144"/>
  <c r="E46" i="140"/>
  <c r="P46" i="140" s="1"/>
  <c r="F47" i="144"/>
  <c r="E48" i="140"/>
  <c r="F49" i="144"/>
  <c r="E54" i="140"/>
  <c r="F55" i="144"/>
  <c r="E63" i="140"/>
  <c r="F64" i="144"/>
  <c r="E83" i="140"/>
  <c r="P83" i="140" s="1"/>
  <c r="F84" i="144"/>
  <c r="E99" i="140"/>
  <c r="F104" i="144"/>
  <c r="E127" i="140"/>
  <c r="P127" i="140" s="1"/>
  <c r="F132" i="144"/>
  <c r="E129" i="140"/>
  <c r="F134" i="144"/>
  <c r="E134" i="140"/>
  <c r="P134" i="140" s="1"/>
  <c r="F139" i="144"/>
  <c r="E137" i="140"/>
  <c r="F142" i="144"/>
  <c r="O142" i="140"/>
  <c r="J142" i="140" s="1"/>
  <c r="P142" i="140" s="1"/>
  <c r="K147" i="144"/>
  <c r="E156" i="140"/>
  <c r="F161" i="144"/>
  <c r="E157" i="140"/>
  <c r="P157" i="140" s="1"/>
  <c r="F162" i="144"/>
  <c r="E165" i="140"/>
  <c r="F170" i="144"/>
  <c r="F169" i="144" s="1"/>
  <c r="F168" i="144" s="1"/>
  <c r="H187" i="140"/>
  <c r="H186" i="140" s="1"/>
  <c r="H194" i="144"/>
  <c r="H193" i="144" s="1"/>
  <c r="H192" i="144" s="1"/>
  <c r="E27" i="140"/>
  <c r="F27" i="144"/>
  <c r="E60" i="140"/>
  <c r="P60" i="140" s="1"/>
  <c r="F61" i="144"/>
  <c r="E41" i="140"/>
  <c r="F42" i="144"/>
  <c r="H39" i="140"/>
  <c r="H38" i="140" s="1"/>
  <c r="H49" i="144"/>
  <c r="H40" i="144" s="1"/>
  <c r="H39" i="144" s="1"/>
  <c r="H53" i="140"/>
  <c r="H52" i="140" s="1"/>
  <c r="H55" i="144"/>
  <c r="H54" i="144" s="1"/>
  <c r="H53" i="144" s="1"/>
  <c r="E82" i="140"/>
  <c r="P82" i="140" s="1"/>
  <c r="F83" i="144"/>
  <c r="H107" i="140"/>
  <c r="H106" i="140" s="1"/>
  <c r="H113" i="144"/>
  <c r="H112" i="144" s="1"/>
  <c r="H111" i="144" s="1"/>
  <c r="E122" i="140"/>
  <c r="P122" i="140" s="1"/>
  <c r="F127" i="144"/>
  <c r="O125" i="140"/>
  <c r="J125" i="140" s="1"/>
  <c r="K130" i="144"/>
  <c r="O150" i="140"/>
  <c r="J150" i="140" s="1"/>
  <c r="P150" i="140" s="1"/>
  <c r="K155" i="144"/>
  <c r="G155" i="140"/>
  <c r="G154" i="140" s="1"/>
  <c r="G161" i="144"/>
  <c r="G160" i="144" s="1"/>
  <c r="G159" i="144" s="1"/>
  <c r="O159" i="140"/>
  <c r="J159" i="140" s="1"/>
  <c r="P159" i="140" s="1"/>
  <c r="K164" i="144"/>
  <c r="O161" i="140"/>
  <c r="J161" i="140" s="1"/>
  <c r="K166" i="144"/>
  <c r="G164" i="140"/>
  <c r="G163" i="140" s="1"/>
  <c r="G170" i="144"/>
  <c r="G169" i="144" s="1"/>
  <c r="G168" i="144" s="1"/>
  <c r="L176" i="140"/>
  <c r="L175" i="140" s="1"/>
  <c r="L183" i="144"/>
  <c r="L181" i="144" s="1"/>
  <c r="F101" i="142"/>
  <c r="F101" i="144"/>
  <c r="P90" i="140"/>
  <c r="P138" i="140"/>
  <c r="P140" i="140"/>
  <c r="K164" i="140"/>
  <c r="K163" i="140" s="1"/>
  <c r="P170" i="140"/>
  <c r="P174" i="140"/>
  <c r="L26" i="140"/>
  <c r="L25" i="140" s="1"/>
  <c r="P100" i="140"/>
  <c r="F155" i="140"/>
  <c r="F154" i="140" s="1"/>
  <c r="I43" i="125"/>
  <c r="G43" i="125" s="1"/>
  <c r="J37" i="142"/>
  <c r="P165" i="140"/>
  <c r="E164" i="140"/>
  <c r="E163" i="140" s="1"/>
  <c r="H133" i="140"/>
  <c r="H132" i="140" s="1"/>
  <c r="J151" i="140"/>
  <c r="P151" i="140" s="1"/>
  <c r="Q151" i="140" s="1"/>
  <c r="P16" i="140"/>
  <c r="P137" i="140"/>
  <c r="P71" i="140"/>
  <c r="P141" i="140"/>
  <c r="F187" i="140"/>
  <c r="F186" i="140" s="1"/>
  <c r="G53" i="140"/>
  <c r="G52" i="140" s="1"/>
  <c r="P147" i="140"/>
  <c r="F169" i="140"/>
  <c r="F168" i="140" s="1"/>
  <c r="K117" i="140"/>
  <c r="P144" i="140"/>
  <c r="J30" i="140"/>
  <c r="P30" i="140" s="1"/>
  <c r="G26" i="140"/>
  <c r="G25" i="140" s="1"/>
  <c r="K53" i="140"/>
  <c r="K52" i="140" s="1"/>
  <c r="P56" i="140"/>
  <c r="E176" i="140"/>
  <c r="E175" i="140" s="1"/>
  <c r="P191" i="140"/>
  <c r="J19" i="140"/>
  <c r="P19" i="140" s="1"/>
  <c r="Q19" i="140" s="1"/>
  <c r="P23" i="140"/>
  <c r="N192" i="140"/>
  <c r="N201" i="140" s="1"/>
  <c r="P40" i="140"/>
  <c r="G117" i="140"/>
  <c r="G116" i="140" s="1"/>
  <c r="P143" i="140"/>
  <c r="P166" i="140"/>
  <c r="J178" i="140"/>
  <c r="P178" i="140" s="1"/>
  <c r="O182" i="140"/>
  <c r="O181" i="140" s="1"/>
  <c r="P18" i="140"/>
  <c r="F39" i="140"/>
  <c r="F38" i="140" s="1"/>
  <c r="P57" i="140"/>
  <c r="P77" i="140"/>
  <c r="P84" i="140"/>
  <c r="P86" i="140"/>
  <c r="P96" i="140"/>
  <c r="P128" i="140"/>
  <c r="P130" i="140"/>
  <c r="P149" i="140"/>
  <c r="P172" i="140"/>
  <c r="P184" i="140"/>
  <c r="K187" i="140"/>
  <c r="K186" i="140" s="1"/>
  <c r="E187" i="140"/>
  <c r="E186" i="140" s="1"/>
  <c r="J202" i="140"/>
  <c r="P61" i="140"/>
  <c r="P72" i="140"/>
  <c r="P74" i="140"/>
  <c r="P33" i="140"/>
  <c r="P55" i="140"/>
  <c r="P59" i="140"/>
  <c r="P62" i="140"/>
  <c r="P73" i="140"/>
  <c r="P88" i="140"/>
  <c r="P110" i="140"/>
  <c r="P21" i="140"/>
  <c r="F14" i="140"/>
  <c r="F13" i="140" s="1"/>
  <c r="F26" i="140"/>
  <c r="F25" i="140" s="1"/>
  <c r="O27" i="140"/>
  <c r="J27" i="140" s="1"/>
  <c r="P35" i="140"/>
  <c r="P36" i="140"/>
  <c r="P89" i="140"/>
  <c r="P93" i="140"/>
  <c r="J104" i="140"/>
  <c r="P104" i="140" s="1"/>
  <c r="Q104" i="140" s="1"/>
  <c r="P129" i="140"/>
  <c r="P131" i="140"/>
  <c r="P153" i="140"/>
  <c r="P160" i="140"/>
  <c r="P76" i="140"/>
  <c r="P113" i="140"/>
  <c r="K169" i="140"/>
  <c r="K168" i="140" s="1"/>
  <c r="P34" i="140"/>
  <c r="P65" i="140"/>
  <c r="P22" i="140"/>
  <c r="O37" i="140"/>
  <c r="J37" i="140" s="1"/>
  <c r="P37" i="140" s="1"/>
  <c r="O43" i="140"/>
  <c r="J43" i="140" s="1"/>
  <c r="P43" i="140" s="1"/>
  <c r="P87" i="140"/>
  <c r="K116" i="140"/>
  <c r="P125" i="140"/>
  <c r="P145" i="140"/>
  <c r="E155" i="140"/>
  <c r="F176" i="140"/>
  <c r="F175" i="140" s="1"/>
  <c r="P49" i="140"/>
  <c r="K14" i="140"/>
  <c r="K13" i="140" s="1"/>
  <c r="E15" i="140"/>
  <c r="H26" i="140"/>
  <c r="H25" i="140" s="1"/>
  <c r="M26" i="140"/>
  <c r="M25" i="140" s="1"/>
  <c r="E39" i="140"/>
  <c r="E38" i="140" s="1"/>
  <c r="J42" i="140"/>
  <c r="O44" i="140"/>
  <c r="J44" i="140" s="1"/>
  <c r="P44" i="140" s="1"/>
  <c r="P47" i="140"/>
  <c r="P64" i="140"/>
  <c r="P67" i="140"/>
  <c r="P69" i="140"/>
  <c r="P118" i="140"/>
  <c r="P126" i="140"/>
  <c r="P185" i="140"/>
  <c r="P189" i="140"/>
  <c r="P24" i="140"/>
  <c r="J41" i="140"/>
  <c r="P41" i="140" s="1"/>
  <c r="P45" i="140"/>
  <c r="P32" i="140"/>
  <c r="N25" i="140"/>
  <c r="O51" i="140"/>
  <c r="J51" i="140" s="1"/>
  <c r="P51" i="140" s="1"/>
  <c r="K26" i="140"/>
  <c r="O28" i="140"/>
  <c r="O29" i="140"/>
  <c r="J29" i="140" s="1"/>
  <c r="P29" i="140" s="1"/>
  <c r="K39" i="140"/>
  <c r="E58" i="140"/>
  <c r="P58" i="140" s="1"/>
  <c r="F53" i="140"/>
  <c r="F52" i="140" s="1"/>
  <c r="P85" i="140"/>
  <c r="J179" i="140"/>
  <c r="P179" i="140" s="1"/>
  <c r="O176" i="140"/>
  <c r="L181" i="140"/>
  <c r="O31" i="140"/>
  <c r="J31" i="140" s="1"/>
  <c r="P31" i="140" s="1"/>
  <c r="O15" i="140"/>
  <c r="O17" i="140"/>
  <c r="J17" i="140" s="1"/>
  <c r="P17" i="140" s="1"/>
  <c r="P27" i="140"/>
  <c r="L39" i="140"/>
  <c r="P50" i="140"/>
  <c r="O54" i="140"/>
  <c r="P63" i="140"/>
  <c r="P75" i="140"/>
  <c r="O101" i="140"/>
  <c r="J101" i="140" s="1"/>
  <c r="P101" i="140" s="1"/>
  <c r="P103" i="140"/>
  <c r="K107" i="140"/>
  <c r="O108" i="140"/>
  <c r="E135" i="140"/>
  <c r="E133" i="140" s="1"/>
  <c r="F133" i="140"/>
  <c r="F132" i="140" s="1"/>
  <c r="O139" i="140"/>
  <c r="J139" i="140" s="1"/>
  <c r="P139" i="140" s="1"/>
  <c r="K133" i="140"/>
  <c r="J188" i="140"/>
  <c r="P188" i="140" s="1"/>
  <c r="O187" i="140"/>
  <c r="O112" i="140"/>
  <c r="J112" i="140" s="1"/>
  <c r="P112" i="140" s="1"/>
  <c r="E154" i="140"/>
  <c r="I192" i="140"/>
  <c r="I201" i="140" s="1"/>
  <c r="O48" i="140"/>
  <c r="J48" i="140" s="1"/>
  <c r="P48" i="140" s="1"/>
  <c r="P66" i="140"/>
  <c r="P68" i="140"/>
  <c r="P70" i="140"/>
  <c r="P78" i="140"/>
  <c r="P80" i="140"/>
  <c r="P102" i="140"/>
  <c r="E108" i="140"/>
  <c r="F107" i="140"/>
  <c r="P109" i="140"/>
  <c r="E119" i="140"/>
  <c r="E117" i="140" s="1"/>
  <c r="F117" i="140"/>
  <c r="F116" i="140" s="1"/>
  <c r="E183" i="140"/>
  <c r="F182" i="140"/>
  <c r="F181" i="140" s="1"/>
  <c r="R100" i="140"/>
  <c r="P148" i="140"/>
  <c r="P162" i="140"/>
  <c r="J167" i="140"/>
  <c r="P167" i="140" s="1"/>
  <c r="O164" i="140"/>
  <c r="O163" i="140" s="1"/>
  <c r="O173" i="140"/>
  <c r="J173" i="140" s="1"/>
  <c r="P173" i="140" s="1"/>
  <c r="P194" i="140"/>
  <c r="P111" i="140"/>
  <c r="O115" i="140"/>
  <c r="J115" i="140" s="1"/>
  <c r="P115" i="140" s="1"/>
  <c r="P120" i="140"/>
  <c r="O121" i="140"/>
  <c r="J121" i="140" s="1"/>
  <c r="P121" i="140" s="1"/>
  <c r="O171" i="140"/>
  <c r="P114" i="140"/>
  <c r="P124" i="140"/>
  <c r="P136" i="140"/>
  <c r="J156" i="140"/>
  <c r="P156" i="140" s="1"/>
  <c r="O155" i="140"/>
  <c r="P161" i="140"/>
  <c r="P190" i="140"/>
  <c r="K155" i="140"/>
  <c r="E171" i="140"/>
  <c r="J183" i="140"/>
  <c r="C117" i="126"/>
  <c r="H192" i="140" l="1"/>
  <c r="H201" i="140" s="1"/>
  <c r="L192" i="140"/>
  <c r="L202" i="140" s="1"/>
  <c r="P42" i="140"/>
  <c r="E14" i="140"/>
  <c r="E13" i="140" s="1"/>
  <c r="L180" i="144"/>
  <c r="H13" i="144"/>
  <c r="F160" i="144"/>
  <c r="F159" i="144" s="1"/>
  <c r="M192" i="140"/>
  <c r="M201" i="140" s="1"/>
  <c r="J164" i="140"/>
  <c r="J163" i="140" s="1"/>
  <c r="J182" i="140"/>
  <c r="J181" i="140" s="1"/>
  <c r="P135" i="140"/>
  <c r="G192" i="140"/>
  <c r="G201" i="140" s="1"/>
  <c r="E132" i="140"/>
  <c r="E116" i="140"/>
  <c r="J108" i="140"/>
  <c r="P108" i="140" s="1"/>
  <c r="O107" i="140"/>
  <c r="P119" i="140"/>
  <c r="P183" i="140"/>
  <c r="E182" i="140"/>
  <c r="O186" i="140"/>
  <c r="J187" i="140"/>
  <c r="K106" i="140"/>
  <c r="E53" i="140"/>
  <c r="K38" i="140"/>
  <c r="F192" i="140"/>
  <c r="J171" i="140"/>
  <c r="P171" i="140" s="1"/>
  <c r="O169" i="140"/>
  <c r="K25" i="140"/>
  <c r="K154" i="140"/>
  <c r="E169" i="140"/>
  <c r="O117" i="140"/>
  <c r="J176" i="140"/>
  <c r="O175" i="140"/>
  <c r="E25" i="140"/>
  <c r="O39" i="140"/>
  <c r="O38" i="140" s="1"/>
  <c r="L201" i="140"/>
  <c r="O133" i="140"/>
  <c r="O154" i="140"/>
  <c r="J155" i="140"/>
  <c r="P164" i="140"/>
  <c r="F106" i="140"/>
  <c r="E107" i="140"/>
  <c r="K132" i="140"/>
  <c r="J54" i="140"/>
  <c r="P54" i="140" s="1"/>
  <c r="O53" i="140"/>
  <c r="L38" i="140"/>
  <c r="J15" i="140"/>
  <c r="P15" i="140" s="1"/>
  <c r="O14" i="140"/>
  <c r="K192" i="140"/>
  <c r="J28" i="140"/>
  <c r="P28" i="140" s="1"/>
  <c r="O26" i="140"/>
  <c r="G107" i="125"/>
  <c r="J39" i="140" l="1"/>
  <c r="O25" i="140"/>
  <c r="J26" i="140"/>
  <c r="O132" i="140"/>
  <c r="J133" i="140"/>
  <c r="E52" i="140"/>
  <c r="P163" i="140"/>
  <c r="Q164" i="140"/>
  <c r="E168" i="140"/>
  <c r="F201" i="140"/>
  <c r="F205" i="140"/>
  <c r="E181" i="140"/>
  <c r="P182" i="140"/>
  <c r="O106" i="140"/>
  <c r="J107" i="140"/>
  <c r="J106" i="140" s="1"/>
  <c r="K204" i="140"/>
  <c r="K201" i="140"/>
  <c r="J38" i="140"/>
  <c r="P39" i="140"/>
  <c r="J154" i="140"/>
  <c r="P155" i="140"/>
  <c r="E192" i="140"/>
  <c r="O168" i="140"/>
  <c r="J169" i="140"/>
  <c r="J168" i="140" s="1"/>
  <c r="J117" i="140"/>
  <c r="O116" i="140"/>
  <c r="O192" i="140"/>
  <c r="O13" i="140"/>
  <c r="J14" i="140"/>
  <c r="O52" i="140"/>
  <c r="J53" i="140"/>
  <c r="J52" i="140" s="1"/>
  <c r="E106" i="140"/>
  <c r="J175" i="140"/>
  <c r="P176" i="140"/>
  <c r="J186" i="140"/>
  <c r="P187" i="140"/>
  <c r="P107" i="140" l="1"/>
  <c r="Q107" i="140" s="1"/>
  <c r="P106" i="140"/>
  <c r="J116" i="140"/>
  <c r="P117" i="140"/>
  <c r="J132" i="140"/>
  <c r="P133" i="140"/>
  <c r="Q176" i="140"/>
  <c r="P175" i="140"/>
  <c r="O202" i="140"/>
  <c r="O201" i="140"/>
  <c r="Q39" i="140"/>
  <c r="P38" i="140"/>
  <c r="Q182" i="140"/>
  <c r="P181" i="140"/>
  <c r="P169" i="140"/>
  <c r="J25" i="140"/>
  <c r="P26" i="140"/>
  <c r="J192" i="140"/>
  <c r="J201" i="140" s="1"/>
  <c r="J13" i="140"/>
  <c r="P14" i="140"/>
  <c r="Q155" i="140"/>
  <c r="P154" i="140"/>
  <c r="P186" i="140"/>
  <c r="Q187" i="140"/>
  <c r="E204" i="140"/>
  <c r="E201" i="140"/>
  <c r="F202" i="140"/>
  <c r="P53" i="140"/>
  <c r="J141" i="137"/>
  <c r="J140" i="137"/>
  <c r="J139" i="137"/>
  <c r="J138" i="137"/>
  <c r="J137" i="137"/>
  <c r="J136" i="137"/>
  <c r="J135" i="137"/>
  <c r="J134" i="137"/>
  <c r="J133" i="137"/>
  <c r="J132" i="137"/>
  <c r="Q169" i="140" l="1"/>
  <c r="P168" i="140"/>
  <c r="Q133" i="140"/>
  <c r="P132" i="140"/>
  <c r="P13" i="140"/>
  <c r="Q14" i="140"/>
  <c r="P116" i="140"/>
  <c r="Q117" i="140"/>
  <c r="P52" i="140"/>
  <c r="P192" i="140" s="1"/>
  <c r="Q53" i="140"/>
  <c r="Q26" i="140"/>
  <c r="P25" i="140"/>
  <c r="K38" i="97"/>
  <c r="I33" i="137"/>
  <c r="I24" i="137"/>
  <c r="K38" i="142" l="1"/>
  <c r="K38" i="144"/>
  <c r="R37" i="140"/>
  <c r="R38" i="141"/>
  <c r="F204" i="140"/>
  <c r="P201" i="140"/>
  <c r="P202" i="140"/>
  <c r="F119" i="97"/>
  <c r="I73" i="137"/>
  <c r="K113" i="97"/>
  <c r="F119" i="142" l="1"/>
  <c r="F119" i="144"/>
  <c r="K113" i="142"/>
  <c r="K113" i="144"/>
  <c r="I121" i="137"/>
  <c r="I93" i="137"/>
  <c r="K144" i="97"/>
  <c r="F196" i="97"/>
  <c r="F196" i="142" l="1"/>
  <c r="F193" i="142" s="1"/>
  <c r="F192" i="142" s="1"/>
  <c r="F196" i="144"/>
  <c r="F193" i="144" s="1"/>
  <c r="F192" i="144" s="1"/>
  <c r="K144" i="142"/>
  <c r="K144" i="144"/>
  <c r="R170" i="97"/>
  <c r="R136" i="97"/>
  <c r="R123" i="97"/>
  <c r="R107" i="97"/>
  <c r="R98" i="97"/>
  <c r="R91" i="97"/>
  <c r="R60" i="97"/>
  <c r="R43" i="97"/>
  <c r="R23" i="97"/>
  <c r="I203" i="137"/>
  <c r="I202" i="137" s="1"/>
  <c r="I201" i="137" s="1"/>
  <c r="I194" i="137"/>
  <c r="I193" i="137" s="1"/>
  <c r="I192" i="137"/>
  <c r="I190" i="137"/>
  <c r="I189" i="137"/>
  <c r="I188" i="137"/>
  <c r="I182" i="137"/>
  <c r="I181" i="137"/>
  <c r="J154" i="137"/>
  <c r="H153" i="137"/>
  <c r="I135" i="137"/>
  <c r="I131" i="137"/>
  <c r="I124" i="137"/>
  <c r="I122" i="137"/>
  <c r="I108" i="137" s="1"/>
  <c r="I107" i="137"/>
  <c r="J104" i="137"/>
  <c r="I104" i="137"/>
  <c r="I100" i="137"/>
  <c r="J99" i="137"/>
  <c r="J98" i="137"/>
  <c r="I94" i="137"/>
  <c r="J87" i="137"/>
  <c r="I85" i="137"/>
  <c r="I82" i="137"/>
  <c r="I78" i="137"/>
  <c r="I77" i="137"/>
  <c r="J76" i="137"/>
  <c r="I76" i="137"/>
  <c r="I74" i="137"/>
  <c r="R115" i="141" s="1"/>
  <c r="I72" i="137"/>
  <c r="I69" i="137"/>
  <c r="R108" i="141" s="1"/>
  <c r="I64" i="137"/>
  <c r="J64" i="137" s="1"/>
  <c r="I52" i="137"/>
  <c r="R84" i="141" s="1"/>
  <c r="I51" i="137"/>
  <c r="I49" i="137"/>
  <c r="I46" i="137"/>
  <c r="I45" i="137"/>
  <c r="I42" i="137"/>
  <c r="I40" i="137"/>
  <c r="I38" i="137"/>
  <c r="J38" i="137" s="1"/>
  <c r="I37" i="137"/>
  <c r="I30" i="137"/>
  <c r="I27" i="137"/>
  <c r="I26" i="137"/>
  <c r="I25" i="137"/>
  <c r="J24" i="137"/>
  <c r="J21" i="137"/>
  <c r="I20" i="137"/>
  <c r="J19" i="137"/>
  <c r="I14" i="137"/>
  <c r="I12" i="137"/>
  <c r="I10" i="137"/>
  <c r="I8" i="137"/>
  <c r="I180" i="137" l="1"/>
  <c r="R169" i="141" s="1"/>
  <c r="R24" i="140"/>
  <c r="R24" i="141"/>
  <c r="R30" i="140"/>
  <c r="R30" i="141"/>
  <c r="R82" i="140"/>
  <c r="R83" i="141"/>
  <c r="R120" i="140"/>
  <c r="R125" i="141"/>
  <c r="R182" i="140"/>
  <c r="R187" i="141"/>
  <c r="R15" i="140"/>
  <c r="R15" i="141"/>
  <c r="R27" i="140"/>
  <c r="R27" i="141"/>
  <c r="R156" i="140"/>
  <c r="R161" i="141"/>
  <c r="R187" i="140"/>
  <c r="R192" i="141"/>
  <c r="R28" i="141"/>
  <c r="R33" i="140"/>
  <c r="R33" i="141"/>
  <c r="R43" i="140"/>
  <c r="R44" i="141"/>
  <c r="R51" i="140"/>
  <c r="R52" i="141"/>
  <c r="R99" i="140"/>
  <c r="R104" i="141"/>
  <c r="R108" i="140"/>
  <c r="R113" i="141"/>
  <c r="R112" i="140"/>
  <c r="R117" i="141"/>
  <c r="R125" i="140"/>
  <c r="R130" i="141"/>
  <c r="R173" i="140"/>
  <c r="R178" i="141"/>
  <c r="R50" i="140"/>
  <c r="R51" i="141"/>
  <c r="R101" i="140"/>
  <c r="R106" i="141"/>
  <c r="R111" i="140"/>
  <c r="R116" i="141"/>
  <c r="R121" i="140"/>
  <c r="R126" i="141"/>
  <c r="R171" i="140"/>
  <c r="R176" i="141"/>
  <c r="R17" i="140"/>
  <c r="R17" i="141"/>
  <c r="R29" i="140"/>
  <c r="R29" i="141"/>
  <c r="R42" i="141"/>
  <c r="R48" i="140"/>
  <c r="R49" i="141"/>
  <c r="R54" i="140"/>
  <c r="R55" i="141"/>
  <c r="R115" i="140"/>
  <c r="R120" i="141"/>
  <c r="R174" i="140"/>
  <c r="R179" i="141"/>
  <c r="R28" i="140"/>
  <c r="R84" i="97"/>
  <c r="R83" i="140"/>
  <c r="J69" i="137"/>
  <c r="R103" i="140"/>
  <c r="I179" i="137"/>
  <c r="R164" i="140"/>
  <c r="R41" i="140"/>
  <c r="R115" i="97"/>
  <c r="R110" i="140"/>
  <c r="R28" i="97"/>
  <c r="I48" i="137"/>
  <c r="R54" i="141" s="1"/>
  <c r="I71" i="137"/>
  <c r="R112" i="141" s="1"/>
  <c r="I35" i="137"/>
  <c r="I34" i="137" s="1"/>
  <c r="I157" i="137"/>
  <c r="R160" i="141" s="1"/>
  <c r="I7" i="137"/>
  <c r="I6" i="137" s="1"/>
  <c r="I16" i="137"/>
  <c r="R26" i="141" s="1"/>
  <c r="I96" i="137"/>
  <c r="I80" i="137"/>
  <c r="R122" i="141" s="1"/>
  <c r="I187" i="137"/>
  <c r="R174" i="141" s="1"/>
  <c r="R39" i="140" l="1"/>
  <c r="R40" i="141"/>
  <c r="R14" i="140"/>
  <c r="R14" i="141"/>
  <c r="I15" i="137"/>
  <c r="R26" i="140"/>
  <c r="I70" i="137"/>
  <c r="R107" i="140"/>
  <c r="I47" i="137"/>
  <c r="R53" i="140"/>
  <c r="I186" i="137"/>
  <c r="R169" i="140"/>
  <c r="I79" i="137"/>
  <c r="R117" i="140"/>
  <c r="I156" i="137"/>
  <c r="R155" i="140"/>
  <c r="I91" i="137"/>
  <c r="R138" i="141" s="1"/>
  <c r="I90" i="137" l="1"/>
  <c r="I204" i="137" s="1"/>
  <c r="R133" i="140"/>
  <c r="Q192" i="140" l="1"/>
  <c r="Q197" i="141"/>
  <c r="H200" i="125"/>
  <c r="J200" i="125"/>
  <c r="I200" i="125"/>
  <c r="K176" i="97"/>
  <c r="F176" i="97"/>
  <c r="F67" i="97"/>
  <c r="F77" i="97"/>
  <c r="F176" i="142" l="1"/>
  <c r="F176" i="144"/>
  <c r="F67" i="142"/>
  <c r="F67" i="144"/>
  <c r="K176" i="142"/>
  <c r="K176" i="144"/>
  <c r="F77" i="142"/>
  <c r="F77" i="144"/>
  <c r="R51" i="97"/>
  <c r="R176" i="97"/>
  <c r="L19" i="97" l="1"/>
  <c r="L109" i="97"/>
  <c r="E28" i="108"/>
  <c r="E21" i="108"/>
  <c r="G63" i="125"/>
  <c r="K55" i="97"/>
  <c r="K55" i="142" l="1"/>
  <c r="K55" i="144"/>
  <c r="L109" i="142"/>
  <c r="L54" i="142" s="1"/>
  <c r="L53" i="142" s="1"/>
  <c r="L109" i="144"/>
  <c r="L54" i="144" s="1"/>
  <c r="L19" i="142"/>
  <c r="L14" i="142" s="1"/>
  <c r="L19" i="144"/>
  <c r="L14" i="144" s="1"/>
  <c r="L13" i="142"/>
  <c r="R55" i="97"/>
  <c r="L28" i="97"/>
  <c r="O28" i="97"/>
  <c r="L53" i="144" l="1"/>
  <c r="O28" i="142"/>
  <c r="O28" i="144"/>
  <c r="L13" i="144"/>
  <c r="L28" i="142"/>
  <c r="L28" i="144"/>
  <c r="F143" i="97"/>
  <c r="F143" i="142" l="1"/>
  <c r="F143" i="144"/>
  <c r="G29" i="97"/>
  <c r="G29" i="142" l="1"/>
  <c r="G29" i="144"/>
  <c r="R38" i="97"/>
  <c r="L30" i="97" l="1"/>
  <c r="M30" i="97"/>
  <c r="M28" i="97"/>
  <c r="M27" i="97"/>
  <c r="L27" i="97"/>
  <c r="E107" i="97"/>
  <c r="O107" i="97"/>
  <c r="E11" i="108"/>
  <c r="K178" i="97"/>
  <c r="F52" i="97"/>
  <c r="O107" i="142" l="1"/>
  <c r="O107" i="144"/>
  <c r="F52" i="142"/>
  <c r="F52" i="144"/>
  <c r="E107" i="142"/>
  <c r="E107" i="144"/>
  <c r="M30" i="142"/>
  <c r="M30" i="144"/>
  <c r="M27" i="142"/>
  <c r="M27" i="144"/>
  <c r="M28" i="142"/>
  <c r="M28" i="144"/>
  <c r="K178" i="142"/>
  <c r="K178" i="144"/>
  <c r="L27" i="142"/>
  <c r="L27" i="144"/>
  <c r="L30" i="142"/>
  <c r="L30" i="144"/>
  <c r="R178" i="97"/>
  <c r="J107" i="97"/>
  <c r="J107" i="142" l="1"/>
  <c r="J107" i="144"/>
  <c r="P107" i="97"/>
  <c r="J173" i="125"/>
  <c r="I173" i="125"/>
  <c r="J167" i="125"/>
  <c r="P107" i="142" l="1"/>
  <c r="P107" i="144"/>
  <c r="H201" i="125"/>
  <c r="H199" i="125"/>
  <c r="F177" i="97"/>
  <c r="H202" i="125"/>
  <c r="F178" i="97"/>
  <c r="H203" i="125"/>
  <c r="J203" i="125"/>
  <c r="I203" i="125"/>
  <c r="F178" i="142" l="1"/>
  <c r="F178" i="144"/>
  <c r="F177" i="142"/>
  <c r="F174" i="142" s="1"/>
  <c r="F173" i="142" s="1"/>
  <c r="F177" i="144"/>
  <c r="F174" i="144" s="1"/>
  <c r="F173" i="144" s="1"/>
  <c r="K194" i="97"/>
  <c r="K194" i="142" l="1"/>
  <c r="K193" i="142" s="1"/>
  <c r="K192" i="142" s="1"/>
  <c r="K194" i="144"/>
  <c r="K193" i="144" s="1"/>
  <c r="K192" i="144" s="1"/>
  <c r="R161" i="97"/>
  <c r="N31" i="97"/>
  <c r="M31" i="97"/>
  <c r="L31" i="97"/>
  <c r="H139" i="97"/>
  <c r="L31" i="142" l="1"/>
  <c r="L26" i="142" s="1"/>
  <c r="L31" i="144"/>
  <c r="L26" i="144" s="1"/>
  <c r="N31" i="142"/>
  <c r="N26" i="142" s="1"/>
  <c r="N31" i="144"/>
  <c r="N26" i="144" s="1"/>
  <c r="H139" i="142"/>
  <c r="H139" i="144"/>
  <c r="M31" i="142"/>
  <c r="M26" i="142" s="1"/>
  <c r="M31" i="144"/>
  <c r="M26" i="144" s="1"/>
  <c r="L25" i="142"/>
  <c r="N25" i="142"/>
  <c r="N198" i="142"/>
  <c r="M25" i="142"/>
  <c r="R106" i="97"/>
  <c r="K167" i="97"/>
  <c r="K126" i="97"/>
  <c r="G123" i="97"/>
  <c r="F123" i="97"/>
  <c r="K125" i="97"/>
  <c r="G125" i="97"/>
  <c r="G123" i="142" l="1"/>
  <c r="G123" i="144"/>
  <c r="N198" i="144"/>
  <c r="N25" i="144"/>
  <c r="G125" i="142"/>
  <c r="G125" i="144"/>
  <c r="K126" i="142"/>
  <c r="K122" i="142" s="1"/>
  <c r="K121" i="142" s="1"/>
  <c r="K126" i="144"/>
  <c r="K167" i="142"/>
  <c r="K160" i="142" s="1"/>
  <c r="K159" i="142" s="1"/>
  <c r="K167" i="144"/>
  <c r="K160" i="144" s="1"/>
  <c r="K159" i="144" s="1"/>
  <c r="L25" i="144"/>
  <c r="M25" i="144"/>
  <c r="K125" i="142"/>
  <c r="K125" i="144"/>
  <c r="F123" i="142"/>
  <c r="F123" i="144"/>
  <c r="R126" i="97"/>
  <c r="R125" i="97"/>
  <c r="R130" i="97"/>
  <c r="E162" i="97"/>
  <c r="K122" i="144" l="1"/>
  <c r="K121" i="144" s="1"/>
  <c r="G122" i="144"/>
  <c r="G121" i="144" s="1"/>
  <c r="E162" i="142"/>
  <c r="E162" i="144"/>
  <c r="G122" i="142"/>
  <c r="G121" i="142" s="1"/>
  <c r="R27" i="97"/>
  <c r="O27" i="97"/>
  <c r="K120" i="97"/>
  <c r="F117" i="97"/>
  <c r="R113" i="97"/>
  <c r="F113" i="97"/>
  <c r="G113" i="97"/>
  <c r="F115" i="97"/>
  <c r="H147" i="97"/>
  <c r="K154" i="97"/>
  <c r="E13" i="127"/>
  <c r="K145" i="97"/>
  <c r="G158" i="97"/>
  <c r="F158" i="97"/>
  <c r="F154" i="97"/>
  <c r="F146" i="97"/>
  <c r="F140" i="97"/>
  <c r="F150" i="97"/>
  <c r="H106" i="125"/>
  <c r="F78" i="97"/>
  <c r="F72" i="97"/>
  <c r="F81" i="97"/>
  <c r="F89" i="97"/>
  <c r="G90" i="97"/>
  <c r="F90" i="97"/>
  <c r="K83" i="97"/>
  <c r="O171" i="97"/>
  <c r="E171" i="97"/>
  <c r="K172" i="97"/>
  <c r="K52" i="97"/>
  <c r="K52" i="142" l="1"/>
  <c r="K52" i="144"/>
  <c r="F81" i="142"/>
  <c r="F81" i="144"/>
  <c r="F158" i="142"/>
  <c r="F158" i="144"/>
  <c r="F90" i="142"/>
  <c r="F90" i="144"/>
  <c r="F72" i="142"/>
  <c r="F72" i="144"/>
  <c r="F140" i="142"/>
  <c r="F140" i="144"/>
  <c r="G158" i="142"/>
  <c r="G138" i="142" s="1"/>
  <c r="G137" i="142" s="1"/>
  <c r="G158" i="144"/>
  <c r="G138" i="144" s="1"/>
  <c r="G137" i="144" s="1"/>
  <c r="H147" i="142"/>
  <c r="H138" i="142" s="1"/>
  <c r="H137" i="142" s="1"/>
  <c r="H147" i="144"/>
  <c r="H138" i="144" s="1"/>
  <c r="H137" i="144" s="1"/>
  <c r="K83" i="142"/>
  <c r="K83" i="144"/>
  <c r="O27" i="142"/>
  <c r="O27" i="144"/>
  <c r="E171" i="142"/>
  <c r="E171" i="144"/>
  <c r="G90" i="142"/>
  <c r="G54" i="142" s="1"/>
  <c r="G53" i="142" s="1"/>
  <c r="G90" i="144"/>
  <c r="G54" i="144" s="1"/>
  <c r="G53" i="144" s="1"/>
  <c r="F78" i="142"/>
  <c r="F78" i="144"/>
  <c r="F146" i="142"/>
  <c r="F146" i="144"/>
  <c r="K145" i="142"/>
  <c r="K145" i="144"/>
  <c r="F115" i="142"/>
  <c r="F115" i="144"/>
  <c r="F117" i="142"/>
  <c r="F117" i="144"/>
  <c r="F150" i="142"/>
  <c r="F150" i="144"/>
  <c r="K154" i="142"/>
  <c r="K154" i="144"/>
  <c r="F113" i="142"/>
  <c r="F113" i="144"/>
  <c r="K172" i="142"/>
  <c r="K169" i="142" s="1"/>
  <c r="K168" i="142" s="1"/>
  <c r="K172" i="144"/>
  <c r="K169" i="144" s="1"/>
  <c r="K168" i="144" s="1"/>
  <c r="O171" i="142"/>
  <c r="O171" i="144"/>
  <c r="F89" i="142"/>
  <c r="F89" i="144"/>
  <c r="F154" i="142"/>
  <c r="F154" i="144"/>
  <c r="G113" i="142"/>
  <c r="G112" i="142" s="1"/>
  <c r="G111" i="142" s="1"/>
  <c r="G113" i="144"/>
  <c r="G112" i="144" s="1"/>
  <c r="G111" i="144" s="1"/>
  <c r="K120" i="142"/>
  <c r="K120" i="144"/>
  <c r="R52" i="97"/>
  <c r="R83" i="97"/>
  <c r="R104" i="97"/>
  <c r="R42" i="97"/>
  <c r="R120" i="97"/>
  <c r="R31" i="97"/>
  <c r="H194" i="125"/>
  <c r="G194" i="125" s="1"/>
  <c r="J171" i="97"/>
  <c r="F138" i="142" l="1"/>
  <c r="F137" i="142" s="1"/>
  <c r="J171" i="142"/>
  <c r="J171" i="144"/>
  <c r="K138" i="144"/>
  <c r="K137" i="144" s="1"/>
  <c r="F138" i="144"/>
  <c r="F137" i="144" s="1"/>
  <c r="K138" i="142"/>
  <c r="K137" i="142" s="1"/>
  <c r="H192" i="125"/>
  <c r="P171" i="97"/>
  <c r="J32" i="125"/>
  <c r="I32" i="125"/>
  <c r="H32" i="125"/>
  <c r="O31" i="97"/>
  <c r="F38" i="97"/>
  <c r="K30" i="97"/>
  <c r="K33" i="97"/>
  <c r="F34" i="97"/>
  <c r="H33" i="97"/>
  <c r="F33" i="97"/>
  <c r="F30" i="97"/>
  <c r="G33" i="97"/>
  <c r="G32" i="97"/>
  <c r="F32" i="97"/>
  <c r="G31" i="97"/>
  <c r="G30" i="97"/>
  <c r="G27" i="142" l="1"/>
  <c r="G27" i="144"/>
  <c r="H33" i="142"/>
  <c r="H26" i="142" s="1"/>
  <c r="H33" i="144"/>
  <c r="H26" i="144" s="1"/>
  <c r="G30" i="142"/>
  <c r="G30" i="144"/>
  <c r="O31" i="142"/>
  <c r="O31" i="144"/>
  <c r="P171" i="142"/>
  <c r="P171" i="144"/>
  <c r="G32" i="142"/>
  <c r="G32" i="144"/>
  <c r="F38" i="142"/>
  <c r="F38" i="144"/>
  <c r="G33" i="142"/>
  <c r="G33" i="144"/>
  <c r="F34" i="142"/>
  <c r="F34" i="144"/>
  <c r="G31" i="142"/>
  <c r="G31" i="144"/>
  <c r="F30" i="142"/>
  <c r="F30" i="144"/>
  <c r="K33" i="142"/>
  <c r="K33" i="144"/>
  <c r="F32" i="142"/>
  <c r="F32" i="144"/>
  <c r="F33" i="142"/>
  <c r="F26" i="142" s="1"/>
  <c r="F25" i="142" s="1"/>
  <c r="F33" i="144"/>
  <c r="K30" i="142"/>
  <c r="K30" i="144"/>
  <c r="H25" i="142"/>
  <c r="H198" i="142"/>
  <c r="R30" i="97"/>
  <c r="R33" i="97"/>
  <c r="O30" i="97"/>
  <c r="E24" i="108"/>
  <c r="E20" i="108"/>
  <c r="E19" i="108"/>
  <c r="O19" i="97"/>
  <c r="L156" i="97"/>
  <c r="I13" i="125"/>
  <c r="J13" i="125"/>
  <c r="K25" i="125"/>
  <c r="J24" i="125"/>
  <c r="I24" i="125"/>
  <c r="K24" i="97"/>
  <c r="F21" i="97"/>
  <c r="H13" i="125"/>
  <c r="F21" i="142" l="1"/>
  <c r="F21" i="144"/>
  <c r="O30" i="142"/>
  <c r="O30" i="144"/>
  <c r="H25" i="144"/>
  <c r="H198" i="144"/>
  <c r="K24" i="142"/>
  <c r="K24" i="144"/>
  <c r="O19" i="142"/>
  <c r="O19" i="144"/>
  <c r="F26" i="144"/>
  <c r="F25" i="144" s="1"/>
  <c r="L156" i="142"/>
  <c r="L138" i="142" s="1"/>
  <c r="L137" i="142" s="1"/>
  <c r="L156" i="144"/>
  <c r="L138" i="144" s="1"/>
  <c r="R24" i="97"/>
  <c r="K15" i="97"/>
  <c r="L137" i="144" l="1"/>
  <c r="K15" i="142"/>
  <c r="K15" i="144"/>
  <c r="R15" i="97"/>
  <c r="E86" i="126"/>
  <c r="C112" i="126"/>
  <c r="D87" i="126" l="1"/>
  <c r="C116" i="126"/>
  <c r="O156" i="97" l="1"/>
  <c r="O153" i="97"/>
  <c r="E153" i="97"/>
  <c r="E153" i="142" l="1"/>
  <c r="E153" i="144"/>
  <c r="O153" i="142"/>
  <c r="O153" i="144"/>
  <c r="O156" i="142"/>
  <c r="O156" i="144"/>
  <c r="H167" i="125"/>
  <c r="J153" i="97"/>
  <c r="O98" i="97"/>
  <c r="E98" i="97"/>
  <c r="E91" i="97"/>
  <c r="O91" i="97"/>
  <c r="J153" i="142" l="1"/>
  <c r="J153" i="144"/>
  <c r="E91" i="142"/>
  <c r="E91" i="144"/>
  <c r="O91" i="142"/>
  <c r="O91" i="144"/>
  <c r="E98" i="142"/>
  <c r="E98" i="144"/>
  <c r="O98" i="142"/>
  <c r="O98" i="144"/>
  <c r="P153" i="97"/>
  <c r="I167" i="125"/>
  <c r="G167" i="125" s="1"/>
  <c r="J91" i="97"/>
  <c r="J98" i="97"/>
  <c r="P153" i="142" l="1"/>
  <c r="P153" i="144"/>
  <c r="J98" i="142"/>
  <c r="J98" i="144"/>
  <c r="J91" i="142"/>
  <c r="J91" i="144"/>
  <c r="P98" i="97"/>
  <c r="P91" i="97"/>
  <c r="P91" i="142" l="1"/>
  <c r="P91" i="144"/>
  <c r="P98" i="142"/>
  <c r="P98" i="144"/>
  <c r="G138" i="125"/>
  <c r="H48" i="125"/>
  <c r="G48" i="125" s="1"/>
  <c r="J89" i="125" l="1"/>
  <c r="E81" i="97"/>
  <c r="O81" i="97"/>
  <c r="E81" i="142" l="1"/>
  <c r="E81" i="144"/>
  <c r="O81" i="142"/>
  <c r="O81" i="144"/>
  <c r="H89" i="125"/>
  <c r="J81" i="97"/>
  <c r="J81" i="142" l="1"/>
  <c r="J81" i="144"/>
  <c r="P81" i="97"/>
  <c r="I89" i="125"/>
  <c r="G89" i="125" s="1"/>
  <c r="P81" i="142" l="1"/>
  <c r="P81" i="144"/>
  <c r="O152" i="97"/>
  <c r="K49" i="97"/>
  <c r="O152" i="142" l="1"/>
  <c r="O152" i="144"/>
  <c r="K49" i="142"/>
  <c r="K49" i="144"/>
  <c r="R49" i="97"/>
  <c r="J204" i="125" l="1"/>
  <c r="I204" i="125"/>
  <c r="G204" i="125" s="1"/>
  <c r="K179" i="97"/>
  <c r="K175" i="97"/>
  <c r="E179" i="97"/>
  <c r="L174" i="97"/>
  <c r="M174" i="97"/>
  <c r="N174" i="97"/>
  <c r="G174" i="97"/>
  <c r="H174" i="97"/>
  <c r="I174" i="97"/>
  <c r="K179" i="142" l="1"/>
  <c r="K174" i="142" s="1"/>
  <c r="K173" i="142" s="1"/>
  <c r="K179" i="144"/>
  <c r="K174" i="144" s="1"/>
  <c r="K173" i="144" s="1"/>
  <c r="E179" i="142"/>
  <c r="E179" i="144"/>
  <c r="R179" i="97"/>
  <c r="K204" i="125"/>
  <c r="M204" i="125"/>
  <c r="O179" i="97"/>
  <c r="O179" i="142" l="1"/>
  <c r="O179" i="144"/>
  <c r="J179" i="97"/>
  <c r="O72" i="97"/>
  <c r="J80" i="125"/>
  <c r="F66" i="97"/>
  <c r="E72" i="97"/>
  <c r="J179" i="142" l="1"/>
  <c r="J179" i="144"/>
  <c r="F66" i="142"/>
  <c r="F66" i="144"/>
  <c r="O72" i="142"/>
  <c r="O72" i="144"/>
  <c r="E72" i="142"/>
  <c r="E72" i="144"/>
  <c r="J72" i="97"/>
  <c r="H80" i="125"/>
  <c r="L204" i="125"/>
  <c r="P179" i="97"/>
  <c r="P179" i="142" l="1"/>
  <c r="P179" i="144"/>
  <c r="J72" i="142"/>
  <c r="J72" i="144"/>
  <c r="I80" i="125"/>
  <c r="G80" i="125" s="1"/>
  <c r="P72" i="97"/>
  <c r="P72" i="142" l="1"/>
  <c r="P72" i="144"/>
  <c r="O183" i="97"/>
  <c r="F15" i="116"/>
  <c r="O183" i="142" l="1"/>
  <c r="O183" i="144"/>
  <c r="F9" i="116"/>
  <c r="L44" i="97" l="1"/>
  <c r="L44" i="142" l="1"/>
  <c r="L44" i="144"/>
  <c r="M202" i="125"/>
  <c r="K45" i="97"/>
  <c r="K45" i="142" l="1"/>
  <c r="K45" i="144"/>
  <c r="R45" i="97"/>
  <c r="L42" i="97" l="1"/>
  <c r="L43" i="97"/>
  <c r="L45" i="97"/>
  <c r="H52" i="125"/>
  <c r="F45" i="97"/>
  <c r="L45" i="142" l="1"/>
  <c r="L45" i="144"/>
  <c r="L43" i="142"/>
  <c r="L43" i="144"/>
  <c r="F45" i="142"/>
  <c r="F40" i="142" s="1"/>
  <c r="F39" i="142" s="1"/>
  <c r="F45" i="144"/>
  <c r="F40" i="144" s="1"/>
  <c r="F39" i="144" s="1"/>
  <c r="L42" i="142"/>
  <c r="L40" i="142" s="1"/>
  <c r="L42" i="144"/>
  <c r="L40" i="144" s="1"/>
  <c r="F118" i="97"/>
  <c r="F118" i="142" l="1"/>
  <c r="F112" i="142" s="1"/>
  <c r="F118" i="144"/>
  <c r="F112" i="144" s="1"/>
  <c r="L39" i="144"/>
  <c r="L198" i="144"/>
  <c r="F111" i="142"/>
  <c r="E112" i="142"/>
  <c r="L39" i="142"/>
  <c r="L198" i="142"/>
  <c r="J140" i="125"/>
  <c r="G141" i="125"/>
  <c r="G131" i="125"/>
  <c r="J143" i="125"/>
  <c r="O136" i="97"/>
  <c r="L122" i="97"/>
  <c r="H122" i="97"/>
  <c r="I122" i="97"/>
  <c r="J139" i="125"/>
  <c r="O133" i="97"/>
  <c r="E133" i="97"/>
  <c r="M125" i="97"/>
  <c r="H197" i="125"/>
  <c r="E133" i="142" l="1"/>
  <c r="E133" i="144"/>
  <c r="O136" i="142"/>
  <c r="O136" i="144"/>
  <c r="E112" i="144"/>
  <c r="F111" i="144"/>
  <c r="O133" i="142"/>
  <c r="O133" i="144"/>
  <c r="M125" i="142"/>
  <c r="M122" i="142" s="1"/>
  <c r="M125" i="144"/>
  <c r="M122" i="144" s="1"/>
  <c r="E111" i="142"/>
  <c r="M121" i="142"/>
  <c r="M198" i="142"/>
  <c r="H139" i="125"/>
  <c r="J130" i="125"/>
  <c r="J133" i="97"/>
  <c r="J136" i="97"/>
  <c r="K122" i="97"/>
  <c r="R122" i="97" s="1"/>
  <c r="G199" i="125"/>
  <c r="M122" i="97"/>
  <c r="M121" i="144" l="1"/>
  <c r="M198" i="144"/>
  <c r="J133" i="142"/>
  <c r="J133" i="144"/>
  <c r="J136" i="142"/>
  <c r="J136" i="144"/>
  <c r="E111" i="144"/>
  <c r="I139" i="125"/>
  <c r="G139" i="125" s="1"/>
  <c r="P133" i="97"/>
  <c r="I143" i="125"/>
  <c r="P133" i="142" l="1"/>
  <c r="P133" i="144"/>
  <c r="G203" i="125"/>
  <c r="G202" i="125"/>
  <c r="J198" i="125"/>
  <c r="I198" i="125"/>
  <c r="I197" i="125" s="1"/>
  <c r="G59" i="125"/>
  <c r="T79" i="97"/>
  <c r="J87" i="125" s="1"/>
  <c r="F76" i="97"/>
  <c r="J60" i="125"/>
  <c r="J58" i="125"/>
  <c r="E51" i="97"/>
  <c r="L40" i="97"/>
  <c r="M40" i="97"/>
  <c r="N40" i="97"/>
  <c r="I40" i="97"/>
  <c r="H40" i="97"/>
  <c r="G40" i="97"/>
  <c r="O52" i="97"/>
  <c r="E52" i="97"/>
  <c r="K44" i="97"/>
  <c r="E51" i="142" l="1"/>
  <c r="E51" i="144"/>
  <c r="O52" i="142"/>
  <c r="O52" i="144"/>
  <c r="E52" i="142"/>
  <c r="E52" i="144"/>
  <c r="K44" i="142"/>
  <c r="K40" i="142" s="1"/>
  <c r="K39" i="142" s="1"/>
  <c r="K44" i="144"/>
  <c r="K40" i="144" s="1"/>
  <c r="K39" i="144" s="1"/>
  <c r="F76" i="142"/>
  <c r="F76" i="144"/>
  <c r="R44" i="97"/>
  <c r="F174" i="97"/>
  <c r="M198" i="125"/>
  <c r="J197" i="125"/>
  <c r="K174" i="97"/>
  <c r="R174" i="97" s="1"/>
  <c r="H60" i="125"/>
  <c r="J52" i="97"/>
  <c r="F40" i="97"/>
  <c r="K40" i="97"/>
  <c r="R40" i="97" s="1"/>
  <c r="O51" i="97"/>
  <c r="O51" i="142" l="1"/>
  <c r="O51" i="144"/>
  <c r="J52" i="142"/>
  <c r="J52" i="144"/>
  <c r="I60" i="125"/>
  <c r="G60" i="125" s="1"/>
  <c r="P52" i="97"/>
  <c r="J51" i="97"/>
  <c r="L25" i="125"/>
  <c r="G25" i="125"/>
  <c r="J19" i="125"/>
  <c r="I19" i="125"/>
  <c r="J51" i="142" l="1"/>
  <c r="J51" i="144"/>
  <c r="P52" i="142"/>
  <c r="P52" i="144"/>
  <c r="I58" i="125"/>
  <c r="G58" i="125" s="1"/>
  <c r="P51" i="97"/>
  <c r="G19" i="125"/>
  <c r="M19" i="125"/>
  <c r="P51" i="142" l="1"/>
  <c r="P51" i="144"/>
  <c r="G14" i="125"/>
  <c r="J18" i="125"/>
  <c r="M18" i="125" s="1"/>
  <c r="G21" i="125"/>
  <c r="G22" i="125"/>
  <c r="G23" i="125"/>
  <c r="G24" i="125"/>
  <c r="N14" i="97"/>
  <c r="M14" i="97"/>
  <c r="I14" i="97"/>
  <c r="E23" i="97"/>
  <c r="O23" i="97"/>
  <c r="E24" i="97"/>
  <c r="O24" i="97"/>
  <c r="K17" i="97"/>
  <c r="F16" i="97"/>
  <c r="O15" i="97"/>
  <c r="K17" i="142" l="1"/>
  <c r="K14" i="142" s="1"/>
  <c r="K17" i="144"/>
  <c r="K14" i="144" s="1"/>
  <c r="O24" i="142"/>
  <c r="O24" i="144"/>
  <c r="E23" i="142"/>
  <c r="E23" i="144"/>
  <c r="O15" i="142"/>
  <c r="O15" i="144"/>
  <c r="E24" i="142"/>
  <c r="E24" i="144"/>
  <c r="F16" i="142"/>
  <c r="F14" i="142" s="1"/>
  <c r="F16" i="144"/>
  <c r="F14" i="144" s="1"/>
  <c r="O23" i="142"/>
  <c r="O23" i="144"/>
  <c r="K13" i="142"/>
  <c r="F13" i="142"/>
  <c r="R17" i="97"/>
  <c r="L14" i="97"/>
  <c r="H18" i="125"/>
  <c r="K18" i="125" s="1"/>
  <c r="H14" i="97"/>
  <c r="F14" i="97"/>
  <c r="J24" i="97"/>
  <c r="K14" i="97"/>
  <c r="R14" i="97" s="1"/>
  <c r="J23" i="97"/>
  <c r="H93" i="125"/>
  <c r="J92" i="125"/>
  <c r="K108" i="97"/>
  <c r="F13" i="144" l="1"/>
  <c r="J24" i="142"/>
  <c r="J24" i="144"/>
  <c r="K13" i="144"/>
  <c r="K108" i="142"/>
  <c r="K108" i="144"/>
  <c r="J23" i="142"/>
  <c r="J23" i="144"/>
  <c r="R108" i="97"/>
  <c r="P24" i="97"/>
  <c r="P23" i="97"/>
  <c r="L19" i="125"/>
  <c r="I18" i="125"/>
  <c r="L18" i="125" s="1"/>
  <c r="G93" i="125"/>
  <c r="K105" i="97"/>
  <c r="H118" i="125"/>
  <c r="H115" i="125"/>
  <c r="J115" i="125"/>
  <c r="J114" i="125" s="1"/>
  <c r="I115" i="125"/>
  <c r="J124" i="125"/>
  <c r="K105" i="142" l="1"/>
  <c r="K54" i="142" s="1"/>
  <c r="K53" i="142" s="1"/>
  <c r="K105" i="144"/>
  <c r="K54" i="144" s="1"/>
  <c r="K53" i="144" s="1"/>
  <c r="P23" i="142"/>
  <c r="P23" i="144"/>
  <c r="P24" i="142"/>
  <c r="P24" i="144"/>
  <c r="R105" i="97"/>
  <c r="G18" i="125"/>
  <c r="G118" i="125"/>
  <c r="G115" i="125"/>
  <c r="O120" i="97" l="1"/>
  <c r="E120" i="97"/>
  <c r="N112" i="97"/>
  <c r="M112" i="97"/>
  <c r="L112" i="97"/>
  <c r="I112" i="97"/>
  <c r="G112" i="97"/>
  <c r="K117" i="97"/>
  <c r="K116" i="97"/>
  <c r="G213" i="125"/>
  <c r="J209" i="125"/>
  <c r="G207" i="125"/>
  <c r="G193" i="125"/>
  <c r="G184" i="125"/>
  <c r="G148" i="125"/>
  <c r="E120" i="142" l="1"/>
  <c r="E120" i="144"/>
  <c r="K117" i="142"/>
  <c r="K112" i="142" s="1"/>
  <c r="K111" i="142" s="1"/>
  <c r="K117" i="144"/>
  <c r="K116" i="142"/>
  <c r="K116" i="144"/>
  <c r="O120" i="142"/>
  <c r="O120" i="144"/>
  <c r="R116" i="97"/>
  <c r="R117" i="97"/>
  <c r="F112" i="97"/>
  <c r="J117" i="125"/>
  <c r="H112" i="97"/>
  <c r="K112" i="97"/>
  <c r="R112" i="97" s="1"/>
  <c r="H124" i="125"/>
  <c r="J120" i="97"/>
  <c r="K112" i="144" l="1"/>
  <c r="K111" i="144" s="1"/>
  <c r="J120" i="142"/>
  <c r="J120" i="144"/>
  <c r="P120" i="97"/>
  <c r="I124" i="125"/>
  <c r="G124" i="125" s="1"/>
  <c r="E149" i="97"/>
  <c r="E25" i="108"/>
  <c r="G158" i="125"/>
  <c r="N138" i="97"/>
  <c r="M138" i="97"/>
  <c r="L138" i="97"/>
  <c r="I138" i="97"/>
  <c r="E149" i="142" l="1"/>
  <c r="E149" i="144"/>
  <c r="P120" i="142"/>
  <c r="P120" i="144"/>
  <c r="H163" i="125"/>
  <c r="H138" i="97"/>
  <c r="O149" i="97"/>
  <c r="J157" i="125"/>
  <c r="J163" i="125"/>
  <c r="O185" i="97"/>
  <c r="E185" i="97"/>
  <c r="O149" i="142" l="1"/>
  <c r="O149" i="144"/>
  <c r="E185" i="142"/>
  <c r="E185" i="144"/>
  <c r="O185" i="142"/>
  <c r="O185" i="144"/>
  <c r="H209" i="125"/>
  <c r="J185" i="97"/>
  <c r="J149" i="97"/>
  <c r="J195" i="125"/>
  <c r="J192" i="125" s="1"/>
  <c r="O162" i="97"/>
  <c r="E163" i="97"/>
  <c r="E167" i="97"/>
  <c r="L160" i="97"/>
  <c r="M160" i="97"/>
  <c r="N160" i="97"/>
  <c r="G160" i="97"/>
  <c r="H160" i="97"/>
  <c r="I160" i="97"/>
  <c r="E161" i="97"/>
  <c r="E161" i="142" l="1"/>
  <c r="E161" i="144"/>
  <c r="E163" i="142"/>
  <c r="E163" i="144"/>
  <c r="O162" i="142"/>
  <c r="O162" i="144"/>
  <c r="J185" i="142"/>
  <c r="J185" i="144"/>
  <c r="E167" i="142"/>
  <c r="E167" i="144"/>
  <c r="J149" i="142"/>
  <c r="J149" i="144"/>
  <c r="J186" i="125"/>
  <c r="P185" i="97"/>
  <c r="I209" i="125"/>
  <c r="G209" i="125" s="1"/>
  <c r="H186" i="125"/>
  <c r="O163" i="97"/>
  <c r="I163" i="125"/>
  <c r="G163" i="125" s="1"/>
  <c r="P149" i="97"/>
  <c r="H190" i="125"/>
  <c r="O167" i="97"/>
  <c r="J190" i="125"/>
  <c r="K160" i="97"/>
  <c r="R160" i="97" s="1"/>
  <c r="P149" i="142" l="1"/>
  <c r="P149" i="144"/>
  <c r="P185" i="142"/>
  <c r="P185" i="144"/>
  <c r="O167" i="142"/>
  <c r="O167" i="144"/>
  <c r="O163" i="142"/>
  <c r="O163" i="144"/>
  <c r="J163" i="97"/>
  <c r="J167" i="97"/>
  <c r="F138" i="97"/>
  <c r="J149" i="125"/>
  <c r="E140" i="97"/>
  <c r="O140" i="97"/>
  <c r="H36" i="125"/>
  <c r="G36" i="125" s="1"/>
  <c r="J30" i="125"/>
  <c r="K29" i="97"/>
  <c r="J167" i="142" l="1"/>
  <c r="J167" i="144"/>
  <c r="O140" i="142"/>
  <c r="O140" i="144"/>
  <c r="K29" i="142"/>
  <c r="K26" i="142" s="1"/>
  <c r="K29" i="144"/>
  <c r="K26" i="144" s="1"/>
  <c r="E140" i="142"/>
  <c r="E140" i="144"/>
  <c r="J163" i="142"/>
  <c r="J163" i="144"/>
  <c r="K25" i="142"/>
  <c r="K198" i="142"/>
  <c r="R29" i="97"/>
  <c r="P167" i="97"/>
  <c r="I186" i="125"/>
  <c r="G186" i="125" s="1"/>
  <c r="P163" i="97"/>
  <c r="J140" i="97"/>
  <c r="J35" i="125"/>
  <c r="F160" i="97"/>
  <c r="H149" i="125"/>
  <c r="I190" i="125"/>
  <c r="G190" i="125" s="1"/>
  <c r="G32" i="125"/>
  <c r="P200" i="97"/>
  <c r="P167" i="142" l="1"/>
  <c r="P167" i="144"/>
  <c r="K25" i="144"/>
  <c r="K198" i="144"/>
  <c r="P163" i="142"/>
  <c r="P163" i="144"/>
  <c r="J140" i="142"/>
  <c r="J140" i="144"/>
  <c r="P140" i="97"/>
  <c r="I149" i="125"/>
  <c r="G149" i="125" s="1"/>
  <c r="J185" i="125"/>
  <c r="J162" i="97"/>
  <c r="J162" i="142" l="1"/>
  <c r="J162" i="144"/>
  <c r="P140" i="142"/>
  <c r="P140" i="144"/>
  <c r="I185" i="125"/>
  <c r="H185" i="125"/>
  <c r="P162" i="97"/>
  <c r="O186" i="97"/>
  <c r="O148" i="97"/>
  <c r="O118" i="97"/>
  <c r="O55" i="97"/>
  <c r="L26" i="97"/>
  <c r="O186" i="142" l="1"/>
  <c r="O186" i="144"/>
  <c r="P162" i="142"/>
  <c r="P162" i="144"/>
  <c r="O118" i="142"/>
  <c r="O118" i="144"/>
  <c r="O55" i="142"/>
  <c r="O55" i="144"/>
  <c r="O148" i="142"/>
  <c r="O148" i="144"/>
  <c r="J148" i="97"/>
  <c r="H183" i="125"/>
  <c r="G185" i="125"/>
  <c r="G35" i="97"/>
  <c r="J148" i="142" l="1"/>
  <c r="J148" i="144"/>
  <c r="G35" i="142"/>
  <c r="G26" i="142" s="1"/>
  <c r="G25" i="142" s="1"/>
  <c r="G35" i="144"/>
  <c r="G26" i="144" s="1"/>
  <c r="G25" i="144" s="1"/>
  <c r="J42" i="125"/>
  <c r="J41" i="125"/>
  <c r="J44" i="125"/>
  <c r="E36" i="97"/>
  <c r="E38" i="97"/>
  <c r="O38" i="97"/>
  <c r="O35" i="97"/>
  <c r="O34" i="97"/>
  <c r="E35" i="97"/>
  <c r="E34" i="97"/>
  <c r="O35" i="142" l="1"/>
  <c r="O35" i="144"/>
  <c r="E34" i="142"/>
  <c r="E34" i="144"/>
  <c r="O38" i="142"/>
  <c r="O38" i="144"/>
  <c r="E35" i="142"/>
  <c r="E35" i="144"/>
  <c r="E38" i="142"/>
  <c r="E38" i="144"/>
  <c r="O34" i="142"/>
  <c r="O34" i="144"/>
  <c r="E36" i="142"/>
  <c r="E36" i="144"/>
  <c r="J35" i="97"/>
  <c r="J38" i="97"/>
  <c r="H41" i="125"/>
  <c r="H44" i="125"/>
  <c r="H42" i="125"/>
  <c r="J38" i="142" l="1"/>
  <c r="J38" i="144"/>
  <c r="J35" i="142"/>
  <c r="J35" i="144"/>
  <c r="P35" i="97"/>
  <c r="I44" i="125"/>
  <c r="G44" i="125" s="1"/>
  <c r="P38" i="97"/>
  <c r="I41" i="125"/>
  <c r="G41" i="125" s="1"/>
  <c r="K163" i="116"/>
  <c r="P38" i="142" l="1"/>
  <c r="P38" i="144"/>
  <c r="P35" i="142"/>
  <c r="P35" i="144"/>
  <c r="F18" i="116"/>
  <c r="R176" i="140" l="1"/>
  <c r="R181" i="141"/>
  <c r="C105" i="126"/>
  <c r="O197" i="97" l="1"/>
  <c r="O196" i="97"/>
  <c r="O195" i="97"/>
  <c r="O194" i="97"/>
  <c r="O191" i="97"/>
  <c r="O190" i="97"/>
  <c r="O189" i="97"/>
  <c r="O182" i="97"/>
  <c r="O178" i="97"/>
  <c r="O177" i="97"/>
  <c r="O176" i="97"/>
  <c r="O175" i="97"/>
  <c r="O172" i="97"/>
  <c r="O170" i="97"/>
  <c r="O166" i="97"/>
  <c r="O165" i="97"/>
  <c r="O164" i="97"/>
  <c r="O161" i="97"/>
  <c r="O158" i="97"/>
  <c r="O151" i="97"/>
  <c r="O150" i="97"/>
  <c r="O147" i="97"/>
  <c r="O146" i="97"/>
  <c r="O145" i="97"/>
  <c r="O144" i="97"/>
  <c r="O143" i="97"/>
  <c r="O142" i="97"/>
  <c r="O141" i="97"/>
  <c r="O139" i="97"/>
  <c r="O135" i="97"/>
  <c r="O134" i="97"/>
  <c r="O132" i="97"/>
  <c r="O131" i="97"/>
  <c r="O130" i="97"/>
  <c r="O129" i="97"/>
  <c r="O128" i="97"/>
  <c r="O127" i="97"/>
  <c r="O126" i="97"/>
  <c r="O125" i="97"/>
  <c r="O124" i="97"/>
  <c r="O123" i="97"/>
  <c r="O119" i="97"/>
  <c r="O117" i="97"/>
  <c r="O116" i="97"/>
  <c r="O115" i="97"/>
  <c r="O114" i="97"/>
  <c r="O113" i="97"/>
  <c r="O109" i="97"/>
  <c r="O108" i="97"/>
  <c r="O106" i="97"/>
  <c r="O105" i="97"/>
  <c r="O101" i="97"/>
  <c r="O90" i="97"/>
  <c r="O89" i="97"/>
  <c r="O88" i="97"/>
  <c r="O87" i="97"/>
  <c r="O86" i="97"/>
  <c r="O85" i="97"/>
  <c r="O84" i="97"/>
  <c r="O83" i="97"/>
  <c r="O82" i="97"/>
  <c r="O78" i="97"/>
  <c r="O77" i="97"/>
  <c r="O76" i="97"/>
  <c r="O75" i="97"/>
  <c r="O74" i="97"/>
  <c r="O73" i="97"/>
  <c r="O71" i="97"/>
  <c r="O70" i="97"/>
  <c r="O69" i="97"/>
  <c r="O68" i="97"/>
  <c r="O67" i="97"/>
  <c r="O66" i="97"/>
  <c r="O65" i="97"/>
  <c r="O64" i="97"/>
  <c r="O63" i="97"/>
  <c r="O62" i="97"/>
  <c r="O61" i="97"/>
  <c r="O60" i="97"/>
  <c r="O59" i="97"/>
  <c r="O58" i="97"/>
  <c r="O57" i="97"/>
  <c r="O56" i="97"/>
  <c r="O50" i="97"/>
  <c r="O49" i="97"/>
  <c r="O48" i="97"/>
  <c r="O47" i="97"/>
  <c r="O46" i="97"/>
  <c r="O45" i="97"/>
  <c r="O43" i="97"/>
  <c r="O42" i="97"/>
  <c r="O41" i="97"/>
  <c r="O36" i="97"/>
  <c r="O33" i="97"/>
  <c r="O32" i="97"/>
  <c r="O29" i="97"/>
  <c r="O22" i="97"/>
  <c r="O21" i="97"/>
  <c r="O18" i="97"/>
  <c r="O17" i="97"/>
  <c r="O16" i="97"/>
  <c r="J100" i="125"/>
  <c r="J181" i="125"/>
  <c r="O17" i="142" l="1"/>
  <c r="O17" i="144"/>
  <c r="O46" i="142"/>
  <c r="O46" i="144"/>
  <c r="O59" i="142"/>
  <c r="O59" i="144"/>
  <c r="O76" i="142"/>
  <c r="O76" i="144"/>
  <c r="O101" i="142"/>
  <c r="O101" i="144"/>
  <c r="O128" i="142"/>
  <c r="O128" i="144"/>
  <c r="O141" i="142"/>
  <c r="O141" i="144"/>
  <c r="O165" i="142"/>
  <c r="O165" i="144"/>
  <c r="O18" i="142"/>
  <c r="O18" i="144"/>
  <c r="O32" i="142"/>
  <c r="O32" i="144"/>
  <c r="O42" i="142"/>
  <c r="O42" i="144"/>
  <c r="O47" i="142"/>
  <c r="O47" i="144"/>
  <c r="O56" i="142"/>
  <c r="O56" i="144"/>
  <c r="O60" i="142"/>
  <c r="O60" i="144"/>
  <c r="O64" i="142"/>
  <c r="O64" i="144"/>
  <c r="O68" i="142"/>
  <c r="O68" i="144"/>
  <c r="O73" i="142"/>
  <c r="O73" i="144"/>
  <c r="O77" i="142"/>
  <c r="O77" i="144"/>
  <c r="O84" i="142"/>
  <c r="O84" i="144"/>
  <c r="O88" i="142"/>
  <c r="O88" i="144"/>
  <c r="O105" i="142"/>
  <c r="O105" i="144"/>
  <c r="O113" i="142"/>
  <c r="O113" i="144"/>
  <c r="O117" i="142"/>
  <c r="O117" i="144"/>
  <c r="O125" i="142"/>
  <c r="O125" i="144"/>
  <c r="O129" i="142"/>
  <c r="O129" i="144"/>
  <c r="O134" i="142"/>
  <c r="O134" i="144"/>
  <c r="O142" i="142"/>
  <c r="O142" i="144"/>
  <c r="O146" i="142"/>
  <c r="O146" i="144"/>
  <c r="O158" i="142"/>
  <c r="O158" i="144"/>
  <c r="O166" i="142"/>
  <c r="O166" i="144"/>
  <c r="O176" i="142"/>
  <c r="O176" i="144"/>
  <c r="O189" i="142"/>
  <c r="O189" i="144"/>
  <c r="O188" i="144" s="1"/>
  <c r="O195" i="142"/>
  <c r="O195" i="144"/>
  <c r="O41" i="142"/>
  <c r="O41" i="144"/>
  <c r="O67" i="142"/>
  <c r="O67" i="144"/>
  <c r="O83" i="142"/>
  <c r="O83" i="144"/>
  <c r="O116" i="142"/>
  <c r="O116" i="144"/>
  <c r="O145" i="142"/>
  <c r="O145" i="144"/>
  <c r="O194" i="142"/>
  <c r="O194" i="144"/>
  <c r="O21" i="142"/>
  <c r="O21" i="144"/>
  <c r="O33" i="142"/>
  <c r="O33" i="144"/>
  <c r="O43" i="142"/>
  <c r="O43" i="144"/>
  <c r="O48" i="142"/>
  <c r="O48" i="144"/>
  <c r="O57" i="142"/>
  <c r="O57" i="144"/>
  <c r="O61" i="142"/>
  <c r="O61" i="144"/>
  <c r="O65" i="142"/>
  <c r="O65" i="144"/>
  <c r="O69" i="142"/>
  <c r="O69" i="144"/>
  <c r="O74" i="142"/>
  <c r="O74" i="144"/>
  <c r="O78" i="142"/>
  <c r="O78" i="144"/>
  <c r="O85" i="142"/>
  <c r="O85" i="144"/>
  <c r="O89" i="142"/>
  <c r="O89" i="144"/>
  <c r="O106" i="142"/>
  <c r="O106" i="144"/>
  <c r="O114" i="142"/>
  <c r="O114" i="144"/>
  <c r="O119" i="142"/>
  <c r="O119" i="144"/>
  <c r="O126" i="142"/>
  <c r="O126" i="144"/>
  <c r="O130" i="142"/>
  <c r="O130" i="144"/>
  <c r="O135" i="142"/>
  <c r="O135" i="144"/>
  <c r="O143" i="142"/>
  <c r="O143" i="144"/>
  <c r="O147" i="142"/>
  <c r="O147" i="144"/>
  <c r="O161" i="142"/>
  <c r="O161" i="144"/>
  <c r="O170" i="142"/>
  <c r="O170" i="144"/>
  <c r="O177" i="142"/>
  <c r="O177" i="144"/>
  <c r="O190" i="142"/>
  <c r="O190" i="144"/>
  <c r="O196" i="142"/>
  <c r="O196" i="144"/>
  <c r="O29" i="142"/>
  <c r="O29" i="144"/>
  <c r="O50" i="142"/>
  <c r="O50" i="144"/>
  <c r="O63" i="142"/>
  <c r="O63" i="144"/>
  <c r="O71" i="142"/>
  <c r="O71" i="144"/>
  <c r="O87" i="142"/>
  <c r="O87" i="144"/>
  <c r="O109" i="142"/>
  <c r="O109" i="144"/>
  <c r="O124" i="142"/>
  <c r="O124" i="144"/>
  <c r="O132" i="142"/>
  <c r="O132" i="144"/>
  <c r="O151" i="142"/>
  <c r="O151" i="144"/>
  <c r="O182" i="142"/>
  <c r="O181" i="142" s="1"/>
  <c r="O180" i="142" s="1"/>
  <c r="O182" i="144"/>
  <c r="O181" i="144" s="1"/>
  <c r="O16" i="142"/>
  <c r="O16" i="144"/>
  <c r="O22" i="142"/>
  <c r="O22" i="144"/>
  <c r="O36" i="142"/>
  <c r="O36" i="144"/>
  <c r="O45" i="142"/>
  <c r="O45" i="144"/>
  <c r="O49" i="142"/>
  <c r="O49" i="144"/>
  <c r="O58" i="142"/>
  <c r="O58" i="144"/>
  <c r="O62" i="142"/>
  <c r="O62" i="144"/>
  <c r="O66" i="142"/>
  <c r="O66" i="144"/>
  <c r="O70" i="142"/>
  <c r="O70" i="144"/>
  <c r="O75" i="142"/>
  <c r="O75" i="144"/>
  <c r="O82" i="142"/>
  <c r="O82" i="144"/>
  <c r="O86" i="142"/>
  <c r="O86" i="144"/>
  <c r="O90" i="142"/>
  <c r="O90" i="144"/>
  <c r="O108" i="142"/>
  <c r="O108" i="144"/>
  <c r="O115" i="142"/>
  <c r="O115" i="144"/>
  <c r="O123" i="142"/>
  <c r="O122" i="142" s="1"/>
  <c r="O123" i="144"/>
  <c r="O122" i="144" s="1"/>
  <c r="O127" i="142"/>
  <c r="O127" i="144"/>
  <c r="O131" i="142"/>
  <c r="O131" i="144"/>
  <c r="O139" i="142"/>
  <c r="O139" i="144"/>
  <c r="O144" i="142"/>
  <c r="O144" i="144"/>
  <c r="O150" i="142"/>
  <c r="O150" i="144"/>
  <c r="O164" i="142"/>
  <c r="O160" i="142" s="1"/>
  <c r="O164" i="144"/>
  <c r="O172" i="142"/>
  <c r="O172" i="144"/>
  <c r="O178" i="142"/>
  <c r="O178" i="144"/>
  <c r="O191" i="142"/>
  <c r="O191" i="144"/>
  <c r="O197" i="142"/>
  <c r="O197" i="144"/>
  <c r="O112" i="142"/>
  <c r="J181" i="142"/>
  <c r="O14" i="142"/>
  <c r="O174" i="97"/>
  <c r="O173" i="97" s="1"/>
  <c r="O112" i="97"/>
  <c r="O111" i="97" s="1"/>
  <c r="O14" i="97"/>
  <c r="J31" i="97"/>
  <c r="G138" i="97"/>
  <c r="O122" i="97"/>
  <c r="O121" i="97" s="1"/>
  <c r="O160" i="97"/>
  <c r="O159" i="97" s="1"/>
  <c r="O193" i="97"/>
  <c r="O192" i="97" s="1"/>
  <c r="O188" i="97"/>
  <c r="O187" i="97" s="1"/>
  <c r="O181" i="97"/>
  <c r="O169" i="97"/>
  <c r="O168" i="97" s="1"/>
  <c r="J31" i="142" l="1"/>
  <c r="J31" i="144"/>
  <c r="O160" i="144"/>
  <c r="O188" i="142"/>
  <c r="O180" i="144"/>
  <c r="J181" i="144"/>
  <c r="J180" i="144" s="1"/>
  <c r="O187" i="144"/>
  <c r="J188" i="144"/>
  <c r="J187" i="144" s="1"/>
  <c r="O14" i="144"/>
  <c r="O26" i="144"/>
  <c r="O169" i="144"/>
  <c r="O193" i="144"/>
  <c r="O174" i="144"/>
  <c r="O121" i="144"/>
  <c r="J122" i="144"/>
  <c r="J121" i="144" s="1"/>
  <c r="O112" i="144"/>
  <c r="O26" i="142"/>
  <c r="O169" i="142"/>
  <c r="O193" i="142"/>
  <c r="O174" i="142"/>
  <c r="J112" i="142"/>
  <c r="O111" i="142"/>
  <c r="J122" i="142"/>
  <c r="J121" i="142" s="1"/>
  <c r="O121" i="142"/>
  <c r="J160" i="142"/>
  <c r="J159" i="142" s="1"/>
  <c r="O159" i="142"/>
  <c r="O13" i="142"/>
  <c r="J14" i="142"/>
  <c r="J180" i="142"/>
  <c r="O180" i="97"/>
  <c r="O13" i="97"/>
  <c r="D107" i="126"/>
  <c r="D92" i="126" s="1"/>
  <c r="C92" i="126" s="1"/>
  <c r="C115" i="126"/>
  <c r="O25" i="142" l="1"/>
  <c r="J26" i="142"/>
  <c r="J25" i="142" s="1"/>
  <c r="O25" i="144"/>
  <c r="J26" i="144"/>
  <c r="J25" i="144" s="1"/>
  <c r="J174" i="142"/>
  <c r="J173" i="142" s="1"/>
  <c r="O173" i="142"/>
  <c r="O111" i="144"/>
  <c r="J112" i="144"/>
  <c r="O173" i="144"/>
  <c r="J174" i="144"/>
  <c r="J173" i="144" s="1"/>
  <c r="O13" i="144"/>
  <c r="J14" i="144"/>
  <c r="J160" i="144"/>
  <c r="J159" i="144" s="1"/>
  <c r="O159" i="144"/>
  <c r="O192" i="142"/>
  <c r="J193" i="142"/>
  <c r="J192" i="142" s="1"/>
  <c r="J193" i="144"/>
  <c r="J192" i="144" s="1"/>
  <c r="O192" i="144"/>
  <c r="O168" i="142"/>
  <c r="J169" i="142"/>
  <c r="J168" i="142" s="1"/>
  <c r="O168" i="144"/>
  <c r="J169" i="144"/>
  <c r="J168" i="144" s="1"/>
  <c r="O187" i="142"/>
  <c r="J188" i="142"/>
  <c r="J187" i="142" s="1"/>
  <c r="J13" i="142"/>
  <c r="J111" i="142"/>
  <c r="P112" i="142"/>
  <c r="P111" i="142" s="1"/>
  <c r="D86" i="126"/>
  <c r="J111" i="144" l="1"/>
  <c r="P112" i="144"/>
  <c r="P111" i="144" s="1"/>
  <c r="J13" i="144"/>
  <c r="F59" i="97"/>
  <c r="F59" i="142" l="1"/>
  <c r="F54" i="142" s="1"/>
  <c r="F53" i="142" s="1"/>
  <c r="F59" i="144"/>
  <c r="F54" i="144" s="1"/>
  <c r="F53" i="144" s="1"/>
  <c r="C106" i="126"/>
  <c r="C104" i="126"/>
  <c r="G34" i="125" l="1"/>
  <c r="G31" i="125"/>
  <c r="I111" i="97" l="1"/>
  <c r="E189" i="97"/>
  <c r="G26" i="97"/>
  <c r="G25" i="97" s="1"/>
  <c r="F13" i="97"/>
  <c r="H13" i="97"/>
  <c r="E189" i="142" l="1"/>
  <c r="E189" i="144"/>
  <c r="J215" i="125"/>
  <c r="J214" i="125"/>
  <c r="J212" i="125" l="1"/>
  <c r="K193" i="97"/>
  <c r="K192" i="97" l="1"/>
  <c r="R193" i="97"/>
  <c r="G131" i="107"/>
  <c r="G131" i="108"/>
  <c r="G130" i="107"/>
  <c r="G130" i="108"/>
  <c r="G128" i="107"/>
  <c r="G128" i="108"/>
  <c r="G176" i="125"/>
  <c r="G129" i="108"/>
  <c r="G129" i="107"/>
  <c r="G126" i="107"/>
  <c r="G126" i="108"/>
  <c r="G172" i="125"/>
  <c r="G127" i="107"/>
  <c r="G127" i="108"/>
  <c r="G124" i="107"/>
  <c r="G124" i="108"/>
  <c r="G123" i="107"/>
  <c r="G123" i="108"/>
  <c r="G122" i="107"/>
  <c r="G122" i="108"/>
  <c r="G121" i="107"/>
  <c r="G121" i="108"/>
  <c r="G120" i="107"/>
  <c r="G120" i="108"/>
  <c r="G119" i="107"/>
  <c r="G119" i="108"/>
  <c r="G118" i="107"/>
  <c r="G118" i="108"/>
  <c r="G117" i="107"/>
  <c r="G117" i="108"/>
  <c r="G116" i="107"/>
  <c r="G116" i="108"/>
  <c r="G115" i="107"/>
  <c r="G115" i="108"/>
  <c r="G114" i="107"/>
  <c r="G114" i="108"/>
  <c r="G112" i="107"/>
  <c r="G112" i="108"/>
  <c r="G72" i="107"/>
  <c r="G72" i="108"/>
  <c r="G70" i="107"/>
  <c r="G70" i="108"/>
  <c r="G69" i="107"/>
  <c r="G69" i="108"/>
  <c r="G68" i="107"/>
  <c r="G68" i="108"/>
  <c r="G67" i="107"/>
  <c r="G67" i="108"/>
  <c r="G65" i="107"/>
  <c r="G65" i="108"/>
  <c r="G64" i="107"/>
  <c r="G64" i="108"/>
  <c r="G63" i="107"/>
  <c r="G63" i="108"/>
  <c r="G62" i="107"/>
  <c r="G62" i="108"/>
  <c r="G61" i="107"/>
  <c r="G61" i="108"/>
  <c r="G60" i="107"/>
  <c r="G60" i="108"/>
  <c r="G59" i="107"/>
  <c r="G59" i="108"/>
  <c r="G58" i="107"/>
  <c r="G58" i="108"/>
  <c r="G57" i="107"/>
  <c r="G57" i="108"/>
  <c r="G56" i="107"/>
  <c r="G56" i="108"/>
  <c r="G55" i="107"/>
  <c r="G55" i="108"/>
  <c r="G54" i="107"/>
  <c r="G54" i="108"/>
  <c r="G53" i="107"/>
  <c r="G53" i="108"/>
  <c r="G52" i="107"/>
  <c r="G52" i="108"/>
  <c r="G51" i="107"/>
  <c r="G51" i="108"/>
  <c r="G50" i="107"/>
  <c r="G50" i="108"/>
  <c r="G49" i="107"/>
  <c r="G49" i="108"/>
  <c r="G48" i="107"/>
  <c r="G48" i="108"/>
  <c r="G47" i="107"/>
  <c r="G47" i="108"/>
  <c r="G45" i="107"/>
  <c r="G45" i="108"/>
  <c r="G23" i="107"/>
  <c r="G23" i="108"/>
  <c r="G22" i="107"/>
  <c r="G22" i="108"/>
  <c r="G21" i="107"/>
  <c r="G21" i="108"/>
  <c r="G20" i="107"/>
  <c r="G20" i="108"/>
  <c r="G19" i="107"/>
  <c r="G19" i="108"/>
  <c r="G17" i="97"/>
  <c r="G16" i="108"/>
  <c r="G14" i="108"/>
  <c r="G13" i="107"/>
  <c r="G13" i="108"/>
  <c r="G139" i="107"/>
  <c r="G139" i="108"/>
  <c r="K158" i="107"/>
  <c r="K158" i="108"/>
  <c r="G17" i="142" l="1"/>
  <c r="G14" i="142" s="1"/>
  <c r="G13" i="142" s="1"/>
  <c r="G17" i="144"/>
  <c r="G14" i="144" s="1"/>
  <c r="G198" i="142"/>
  <c r="G14" i="97"/>
  <c r="C34" i="127"/>
  <c r="C32" i="127"/>
  <c r="C31" i="127"/>
  <c r="C30" i="127"/>
  <c r="C15" i="127"/>
  <c r="C14" i="127"/>
  <c r="C13" i="127"/>
  <c r="F12" i="127"/>
  <c r="E12" i="127"/>
  <c r="D12" i="127"/>
  <c r="C111" i="126"/>
  <c r="C110" i="126"/>
  <c r="C109" i="126"/>
  <c r="C108" i="126"/>
  <c r="C107" i="126"/>
  <c r="C89" i="126"/>
  <c r="C88" i="126"/>
  <c r="C80" i="126"/>
  <c r="C79" i="126"/>
  <c r="F78" i="126"/>
  <c r="F77" i="126" s="1"/>
  <c r="E78" i="126"/>
  <c r="C78" i="126" s="1"/>
  <c r="C76" i="126"/>
  <c r="C75" i="126"/>
  <c r="F74" i="126"/>
  <c r="E74" i="126"/>
  <c r="C74" i="126" s="1"/>
  <c r="D73" i="126"/>
  <c r="C72" i="126"/>
  <c r="C71" i="126"/>
  <c r="C70" i="126"/>
  <c r="C69" i="126"/>
  <c r="C68" i="126"/>
  <c r="E65" i="126"/>
  <c r="C65" i="126" s="1"/>
  <c r="D64" i="126"/>
  <c r="C63" i="126"/>
  <c r="C62" i="126"/>
  <c r="C61" i="126"/>
  <c r="E60" i="126"/>
  <c r="D60" i="126"/>
  <c r="C59" i="126"/>
  <c r="C58" i="126"/>
  <c r="C57" i="126"/>
  <c r="D56" i="126"/>
  <c r="C56" i="126" s="1"/>
  <c r="C55" i="126"/>
  <c r="C50" i="126"/>
  <c r="C49" i="126"/>
  <c r="C48" i="126"/>
  <c r="D47" i="126"/>
  <c r="C47" i="126" s="1"/>
  <c r="C45" i="126"/>
  <c r="F44" i="126"/>
  <c r="C43" i="126"/>
  <c r="C42" i="126"/>
  <c r="C41" i="126"/>
  <c r="D40" i="126"/>
  <c r="C40" i="126" s="1"/>
  <c r="C39" i="126"/>
  <c r="C38" i="126"/>
  <c r="D37" i="126"/>
  <c r="C37" i="126" s="1"/>
  <c r="C36" i="126"/>
  <c r="C35" i="126"/>
  <c r="D34" i="126"/>
  <c r="C34" i="126" s="1"/>
  <c r="C33" i="126"/>
  <c r="C32" i="126"/>
  <c r="C31" i="126"/>
  <c r="C30" i="126"/>
  <c r="C29" i="126"/>
  <c r="C28" i="126"/>
  <c r="C27" i="126"/>
  <c r="C26" i="126"/>
  <c r="C25" i="126"/>
  <c r="C24" i="126"/>
  <c r="D23" i="126"/>
  <c r="C23" i="126" s="1"/>
  <c r="C19" i="126"/>
  <c r="C18" i="126"/>
  <c r="C17" i="126"/>
  <c r="C16" i="126"/>
  <c r="C15" i="126"/>
  <c r="C14" i="126"/>
  <c r="C13" i="126"/>
  <c r="D12" i="126"/>
  <c r="C12" i="126" s="1"/>
  <c r="G13" i="144" l="1"/>
  <c r="G198" i="144"/>
  <c r="C60" i="126"/>
  <c r="D22" i="126"/>
  <c r="C22" i="126" s="1"/>
  <c r="E77" i="126"/>
  <c r="C77" i="126" s="1"/>
  <c r="C86" i="126"/>
  <c r="F73" i="126"/>
  <c r="F82" i="126" s="1"/>
  <c r="F118" i="126" s="1"/>
  <c r="D51" i="126"/>
  <c r="C51" i="126" s="1"/>
  <c r="D11" i="126"/>
  <c r="C11" i="126" s="1"/>
  <c r="E64" i="126"/>
  <c r="E44" i="126" s="1"/>
  <c r="C12" i="127"/>
  <c r="D44" i="126" l="1"/>
  <c r="C44" i="126" s="1"/>
  <c r="E73" i="126"/>
  <c r="C73" i="126" s="1"/>
  <c r="D10" i="126"/>
  <c r="D83" i="126"/>
  <c r="C83" i="126" s="1"/>
  <c r="C64" i="126"/>
  <c r="D82" i="126" l="1"/>
  <c r="D118" i="126" s="1"/>
  <c r="E82" i="126"/>
  <c r="E118" i="126" s="1"/>
  <c r="C10" i="126"/>
  <c r="C82" i="126" l="1"/>
  <c r="C118" i="126"/>
  <c r="H217" i="125"/>
  <c r="H216" i="125" s="1"/>
  <c r="J211" i="125"/>
  <c r="J128" i="97"/>
  <c r="J101" i="97"/>
  <c r="J68" i="97"/>
  <c r="J36" i="97"/>
  <c r="J115" i="97"/>
  <c r="J119" i="97"/>
  <c r="J166" i="97"/>
  <c r="J172" i="97"/>
  <c r="J58" i="97"/>
  <c r="J47" i="97"/>
  <c r="J197" i="97"/>
  <c r="J196" i="97"/>
  <c r="J191" i="97"/>
  <c r="J190" i="97"/>
  <c r="J186" i="97"/>
  <c r="J183" i="97"/>
  <c r="J176" i="97"/>
  <c r="J175" i="97"/>
  <c r="J165" i="97"/>
  <c r="J158" i="97"/>
  <c r="J126" i="97"/>
  <c r="J130" i="97"/>
  <c r="J135" i="97"/>
  <c r="J139" i="97"/>
  <c r="J143" i="97"/>
  <c r="J147" i="97"/>
  <c r="J152" i="97"/>
  <c r="J116" i="97"/>
  <c r="J109" i="97"/>
  <c r="J108" i="97"/>
  <c r="J90" i="97"/>
  <c r="J86" i="97"/>
  <c r="J67" i="97"/>
  <c r="J55" i="97"/>
  <c r="J19" i="97"/>
  <c r="J18" i="97"/>
  <c r="J116" i="142" l="1"/>
  <c r="J116" i="144"/>
  <c r="J139" i="142"/>
  <c r="J139" i="144"/>
  <c r="J158" i="142"/>
  <c r="J158" i="144"/>
  <c r="J183" i="142"/>
  <c r="J183" i="144"/>
  <c r="J196" i="142"/>
  <c r="J196" i="144"/>
  <c r="J172" i="142"/>
  <c r="J172" i="144"/>
  <c r="J36" i="142"/>
  <c r="J36" i="144"/>
  <c r="J19" i="142"/>
  <c r="J19" i="144"/>
  <c r="J90" i="142"/>
  <c r="J90" i="144"/>
  <c r="J152" i="142"/>
  <c r="J152" i="144"/>
  <c r="J135" i="142"/>
  <c r="J135" i="144"/>
  <c r="J165" i="142"/>
  <c r="J165" i="144"/>
  <c r="J186" i="142"/>
  <c r="J186" i="144"/>
  <c r="J197" i="142"/>
  <c r="J197" i="144"/>
  <c r="J166" i="142"/>
  <c r="J166" i="144"/>
  <c r="J68" i="142"/>
  <c r="J68" i="144"/>
  <c r="J86" i="142"/>
  <c r="J86" i="144"/>
  <c r="J55" i="142"/>
  <c r="J55" i="144"/>
  <c r="J108" i="142"/>
  <c r="J108" i="144"/>
  <c r="J147" i="142"/>
  <c r="J147" i="144"/>
  <c r="J130" i="142"/>
  <c r="J130" i="144"/>
  <c r="J190" i="142"/>
  <c r="J190" i="144"/>
  <c r="J47" i="142"/>
  <c r="J47" i="144"/>
  <c r="J119" i="142"/>
  <c r="J119" i="144"/>
  <c r="J101" i="142"/>
  <c r="J101" i="144"/>
  <c r="J18" i="142"/>
  <c r="J18" i="144"/>
  <c r="J67" i="142"/>
  <c r="J67" i="144"/>
  <c r="J109" i="142"/>
  <c r="J109" i="144"/>
  <c r="J143" i="142"/>
  <c r="J143" i="144"/>
  <c r="J126" i="142"/>
  <c r="J126" i="144"/>
  <c r="J176" i="142"/>
  <c r="J176" i="144"/>
  <c r="J191" i="142"/>
  <c r="J191" i="144"/>
  <c r="J58" i="142"/>
  <c r="J58" i="144"/>
  <c r="J115" i="142"/>
  <c r="J115" i="144"/>
  <c r="J128" i="142"/>
  <c r="J128" i="144"/>
  <c r="L198" i="125"/>
  <c r="I130" i="125"/>
  <c r="I181" i="125"/>
  <c r="I195" i="125"/>
  <c r="I192" i="125" s="1"/>
  <c r="I42" i="125"/>
  <c r="I114" i="125"/>
  <c r="I100" i="125"/>
  <c r="J57" i="97"/>
  <c r="J78" i="97"/>
  <c r="J61" i="97"/>
  <c r="J85" i="97"/>
  <c r="J125" i="97"/>
  <c r="J114" i="97"/>
  <c r="J146" i="97"/>
  <c r="J195" i="97"/>
  <c r="J189" i="97"/>
  <c r="J156" i="97"/>
  <c r="J41" i="97"/>
  <c r="J32" i="97"/>
  <c r="J21" i="97"/>
  <c r="J16" i="97"/>
  <c r="J56" i="97"/>
  <c r="J48" i="97"/>
  <c r="J43" i="97"/>
  <c r="J77" i="97"/>
  <c r="J73" i="97"/>
  <c r="J64" i="97"/>
  <c r="J60" i="97"/>
  <c r="J105" i="97"/>
  <c r="J88" i="97"/>
  <c r="J84" i="97"/>
  <c r="J132" i="97"/>
  <c r="J124" i="97"/>
  <c r="J117" i="97"/>
  <c r="J113" i="97"/>
  <c r="J161" i="97"/>
  <c r="J150" i="97"/>
  <c r="J145" i="97"/>
  <c r="J141" i="97"/>
  <c r="J194" i="97"/>
  <c r="J177" i="97"/>
  <c r="J170" i="97"/>
  <c r="J33" i="97"/>
  <c r="J17" i="97"/>
  <c r="J49" i="97"/>
  <c r="J74" i="97"/>
  <c r="J65" i="97"/>
  <c r="J89" i="97"/>
  <c r="J134" i="97"/>
  <c r="J118" i="97"/>
  <c r="J151" i="97"/>
  <c r="J142" i="97"/>
  <c r="J178" i="97"/>
  <c r="J15" i="97"/>
  <c r="J83" i="97"/>
  <c r="J76" i="97"/>
  <c r="J71" i="97"/>
  <c r="J63" i="97"/>
  <c r="J59" i="97"/>
  <c r="J87" i="97"/>
  <c r="J131" i="97"/>
  <c r="J127" i="97"/>
  <c r="J123" i="97"/>
  <c r="J144" i="97"/>
  <c r="J42" i="97"/>
  <c r="J22" i="97"/>
  <c r="J45" i="97"/>
  <c r="J69" i="97"/>
  <c r="J106" i="97"/>
  <c r="J129" i="97"/>
  <c r="J164" i="97"/>
  <c r="I215" i="125"/>
  <c r="J34" i="97"/>
  <c r="J29" i="97"/>
  <c r="J50" i="97"/>
  <c r="J46" i="97"/>
  <c r="J82" i="97"/>
  <c r="J75" i="97"/>
  <c r="J70" i="97"/>
  <c r="J66" i="97"/>
  <c r="J62" i="97"/>
  <c r="J182" i="97"/>
  <c r="I214" i="125"/>
  <c r="J210" i="125"/>
  <c r="J208" i="125"/>
  <c r="H210" i="125"/>
  <c r="H191" i="125"/>
  <c r="H182" i="125"/>
  <c r="J75" i="142" l="1"/>
  <c r="J75" i="144"/>
  <c r="J29" i="142"/>
  <c r="J29" i="144"/>
  <c r="J129" i="142"/>
  <c r="J129" i="144"/>
  <c r="J22" i="142"/>
  <c r="J22" i="144"/>
  <c r="J127" i="142"/>
  <c r="J127" i="144"/>
  <c r="J63" i="142"/>
  <c r="J63" i="144"/>
  <c r="J15" i="142"/>
  <c r="J15" i="144"/>
  <c r="J118" i="142"/>
  <c r="J118" i="144"/>
  <c r="J74" i="142"/>
  <c r="J74" i="144"/>
  <c r="J170" i="142"/>
  <c r="J170" i="144"/>
  <c r="J145" i="142"/>
  <c r="J145" i="144"/>
  <c r="J117" i="142"/>
  <c r="J117" i="144"/>
  <c r="J88" i="142"/>
  <c r="J88" i="144"/>
  <c r="J73" i="142"/>
  <c r="J73" i="144"/>
  <c r="J56" i="142"/>
  <c r="J56" i="144"/>
  <c r="J41" i="142"/>
  <c r="J41" i="144"/>
  <c r="J146" i="142"/>
  <c r="J146" i="144"/>
  <c r="J61" i="142"/>
  <c r="J61" i="144"/>
  <c r="J34" i="142"/>
  <c r="J34" i="144"/>
  <c r="J106" i="142"/>
  <c r="J106" i="144"/>
  <c r="J42" i="142"/>
  <c r="J42" i="144"/>
  <c r="J131" i="142"/>
  <c r="J131" i="144"/>
  <c r="J71" i="142"/>
  <c r="J71" i="144"/>
  <c r="J178" i="142"/>
  <c r="J178" i="144"/>
  <c r="J134" i="142"/>
  <c r="J134" i="144"/>
  <c r="J49" i="142"/>
  <c r="J49" i="144"/>
  <c r="J177" i="142"/>
  <c r="J177" i="144"/>
  <c r="J150" i="142"/>
  <c r="J150" i="144"/>
  <c r="J124" i="142"/>
  <c r="J124" i="144"/>
  <c r="J105" i="142"/>
  <c r="J105" i="144"/>
  <c r="J77" i="142"/>
  <c r="J77" i="144"/>
  <c r="J16" i="142"/>
  <c r="J16" i="144"/>
  <c r="J156" i="142"/>
  <c r="J156" i="144"/>
  <c r="J114" i="142"/>
  <c r="J114" i="144"/>
  <c r="J78" i="142"/>
  <c r="J78" i="144"/>
  <c r="J62" i="142"/>
  <c r="J62" i="144"/>
  <c r="J66" i="142"/>
  <c r="J66" i="144"/>
  <c r="J46" i="142"/>
  <c r="J46" i="144"/>
  <c r="J69" i="142"/>
  <c r="J69" i="144"/>
  <c r="J144" i="142"/>
  <c r="J144" i="144"/>
  <c r="J87" i="142"/>
  <c r="J87" i="144"/>
  <c r="J76" i="142"/>
  <c r="J76" i="144"/>
  <c r="J142" i="142"/>
  <c r="J142" i="144"/>
  <c r="J89" i="142"/>
  <c r="J89" i="144"/>
  <c r="J17" i="142"/>
  <c r="J17" i="144"/>
  <c r="J194" i="142"/>
  <c r="J194" i="144"/>
  <c r="J161" i="142"/>
  <c r="J161" i="144"/>
  <c r="J132" i="142"/>
  <c r="J132" i="144"/>
  <c r="J60" i="142"/>
  <c r="J60" i="144"/>
  <c r="J43" i="142"/>
  <c r="J43" i="144"/>
  <c r="J21" i="142"/>
  <c r="J21" i="144"/>
  <c r="J189" i="142"/>
  <c r="J189" i="144"/>
  <c r="J125" i="142"/>
  <c r="J125" i="144"/>
  <c r="J57" i="142"/>
  <c r="J57" i="144"/>
  <c r="J182" i="142"/>
  <c r="J182" i="144"/>
  <c r="J82" i="142"/>
  <c r="J82" i="144"/>
  <c r="J70" i="142"/>
  <c r="J70" i="144"/>
  <c r="J50" i="142"/>
  <c r="J50" i="144"/>
  <c r="J164" i="142"/>
  <c r="J164" i="144"/>
  <c r="J45" i="142"/>
  <c r="J45" i="144"/>
  <c r="J123" i="142"/>
  <c r="J123" i="144"/>
  <c r="J59" i="142"/>
  <c r="J59" i="144"/>
  <c r="J83" i="142"/>
  <c r="J83" i="144"/>
  <c r="J151" i="142"/>
  <c r="J151" i="144"/>
  <c r="J65" i="142"/>
  <c r="J65" i="144"/>
  <c r="J33" i="142"/>
  <c r="J33" i="144"/>
  <c r="J141" i="142"/>
  <c r="J141" i="144"/>
  <c r="J113" i="142"/>
  <c r="J113" i="144"/>
  <c r="J84" i="142"/>
  <c r="J84" i="144"/>
  <c r="J64" i="142"/>
  <c r="J64" i="144"/>
  <c r="J48" i="142"/>
  <c r="J48" i="144"/>
  <c r="J32" i="142"/>
  <c r="J32" i="144"/>
  <c r="J195" i="142"/>
  <c r="J195" i="144"/>
  <c r="J85" i="142"/>
  <c r="J85" i="144"/>
  <c r="L202" i="125"/>
  <c r="I212" i="125"/>
  <c r="I211" i="125" s="1"/>
  <c r="I117" i="125"/>
  <c r="I140" i="125"/>
  <c r="G195" i="125"/>
  <c r="I157" i="125"/>
  <c r="I92" i="125"/>
  <c r="J206" i="125"/>
  <c r="J205" i="125" s="1"/>
  <c r="G192" i="125" l="1"/>
  <c r="G191" i="125" s="1"/>
  <c r="I191" i="125"/>
  <c r="O155" i="97"/>
  <c r="F173" i="97"/>
  <c r="G173" i="97"/>
  <c r="H173" i="97"/>
  <c r="I173" i="97"/>
  <c r="K173" i="97"/>
  <c r="L173" i="97"/>
  <c r="M173" i="97"/>
  <c r="N173" i="97"/>
  <c r="H196" i="125"/>
  <c r="I196" i="125"/>
  <c r="J196" i="125"/>
  <c r="M201" i="125"/>
  <c r="M199" i="125"/>
  <c r="L199" i="125"/>
  <c r="G200" i="125"/>
  <c r="G201" i="125"/>
  <c r="G198" i="125"/>
  <c r="L201" i="125"/>
  <c r="F137" i="97"/>
  <c r="H137" i="97"/>
  <c r="I137" i="97"/>
  <c r="L137" i="97"/>
  <c r="M137" i="97"/>
  <c r="N137" i="97"/>
  <c r="E156" i="97"/>
  <c r="E109" i="97"/>
  <c r="I17" i="125"/>
  <c r="J17" i="125"/>
  <c r="M17" i="125" s="1"/>
  <c r="G16" i="125"/>
  <c r="J15" i="125"/>
  <c r="M15" i="125" s="1"/>
  <c r="J217" i="125"/>
  <c r="J216" i="125" s="1"/>
  <c r="I13" i="97"/>
  <c r="K13" i="97"/>
  <c r="L13" i="97"/>
  <c r="M13" i="97"/>
  <c r="N13" i="97"/>
  <c r="I15" i="125"/>
  <c r="L15" i="125" s="1"/>
  <c r="E90" i="97"/>
  <c r="E182" i="97"/>
  <c r="E139" i="97"/>
  <c r="E194" i="97"/>
  <c r="E170" i="97"/>
  <c r="J164" i="125"/>
  <c r="J165" i="125"/>
  <c r="J159" i="125"/>
  <c r="J160" i="125"/>
  <c r="J162" i="125"/>
  <c r="J155" i="125"/>
  <c r="J156" i="125"/>
  <c r="J154" i="125"/>
  <c r="J150" i="125"/>
  <c r="I180" i="125"/>
  <c r="G180" i="125" s="1"/>
  <c r="E156" i="142" l="1"/>
  <c r="E156" i="144"/>
  <c r="E139" i="142"/>
  <c r="E139" i="144"/>
  <c r="O155" i="142"/>
  <c r="O155" i="144"/>
  <c r="E194" i="142"/>
  <c r="E194" i="144"/>
  <c r="E182" i="142"/>
  <c r="E182" i="144"/>
  <c r="E170" i="142"/>
  <c r="E170" i="144"/>
  <c r="E90" i="142"/>
  <c r="E90" i="144"/>
  <c r="E109" i="142"/>
  <c r="E109" i="144"/>
  <c r="G197" i="125"/>
  <c r="G196" i="125" s="1"/>
  <c r="H100" i="125"/>
  <c r="G100" i="125" s="1"/>
  <c r="G13" i="125"/>
  <c r="I12" i="125"/>
  <c r="I11" i="125" s="1"/>
  <c r="J12" i="125"/>
  <c r="J11" i="125" s="1"/>
  <c r="J191" i="125"/>
  <c r="J174" i="97"/>
  <c r="J173" i="97" s="1"/>
  <c r="J14" i="97"/>
  <c r="J13" i="97" s="1"/>
  <c r="G218" i="125"/>
  <c r="G217" i="125" s="1"/>
  <c r="G216" i="125" s="1"/>
  <c r="I217" i="125"/>
  <c r="I216" i="125" s="1"/>
  <c r="M196" i="125"/>
  <c r="J178" i="125"/>
  <c r="P156" i="97"/>
  <c r="P109" i="97"/>
  <c r="L17" i="125"/>
  <c r="P194" i="97"/>
  <c r="P90" i="97"/>
  <c r="P182" i="97"/>
  <c r="P139" i="97"/>
  <c r="P170" i="97"/>
  <c r="P189" i="97"/>
  <c r="P161" i="97"/>
  <c r="P194" i="142" l="1"/>
  <c r="P194" i="144"/>
  <c r="P170" i="142"/>
  <c r="P170" i="144"/>
  <c r="P139" i="142"/>
  <c r="P139" i="144"/>
  <c r="P161" i="142"/>
  <c r="P161" i="144"/>
  <c r="P182" i="142"/>
  <c r="P182" i="144"/>
  <c r="P109" i="142"/>
  <c r="P109" i="144"/>
  <c r="P189" i="142"/>
  <c r="P189" i="144"/>
  <c r="P90" i="142"/>
  <c r="P90" i="144"/>
  <c r="P156" i="142"/>
  <c r="P156" i="144"/>
  <c r="J155" i="97"/>
  <c r="Q109" i="97"/>
  <c r="Q156" i="97"/>
  <c r="I165" i="125"/>
  <c r="E151" i="97"/>
  <c r="J155" i="142" l="1"/>
  <c r="J155" i="144"/>
  <c r="E151" i="142"/>
  <c r="E151" i="144"/>
  <c r="H165" i="125"/>
  <c r="G165" i="125" s="1"/>
  <c r="J166" i="125"/>
  <c r="J147" i="125" s="1"/>
  <c r="P151" i="97"/>
  <c r="O104" i="97"/>
  <c r="O44" i="97"/>
  <c r="P151" i="142" l="1"/>
  <c r="P151" i="144"/>
  <c r="O104" i="142"/>
  <c r="O104" i="144"/>
  <c r="O44" i="142"/>
  <c r="O40" i="142" s="1"/>
  <c r="O44" i="144"/>
  <c r="O40" i="144" s="1"/>
  <c r="O39" i="142"/>
  <c r="J40" i="142"/>
  <c r="O40" i="97"/>
  <c r="J40" i="97" s="1"/>
  <c r="J146" i="125"/>
  <c r="E41" i="97"/>
  <c r="E55" i="97"/>
  <c r="E55" i="142" l="1"/>
  <c r="E55" i="144"/>
  <c r="E41" i="142"/>
  <c r="E41" i="144"/>
  <c r="O39" i="144"/>
  <c r="J40" i="144"/>
  <c r="J39" i="142"/>
  <c r="O39" i="97"/>
  <c r="J104" i="97"/>
  <c r="J44" i="97"/>
  <c r="P41" i="97"/>
  <c r="P55" i="97"/>
  <c r="E150" i="97"/>
  <c r="I164" i="125"/>
  <c r="P41" i="142" l="1"/>
  <c r="P41" i="144"/>
  <c r="J44" i="142"/>
  <c r="J44" i="144"/>
  <c r="E150" i="142"/>
  <c r="E150" i="144"/>
  <c r="J104" i="142"/>
  <c r="J104" i="144"/>
  <c r="J39" i="144"/>
  <c r="P55" i="142"/>
  <c r="P55" i="144"/>
  <c r="H164" i="125"/>
  <c r="G164" i="125" s="1"/>
  <c r="P150" i="97"/>
  <c r="P150" i="142" l="1"/>
  <c r="P150" i="144"/>
  <c r="J51" i="125"/>
  <c r="G52" i="125"/>
  <c r="J101" i="125"/>
  <c r="I101" i="125"/>
  <c r="I95" i="125"/>
  <c r="J95" i="125"/>
  <c r="I96" i="125"/>
  <c r="J96" i="125"/>
  <c r="I90" i="125"/>
  <c r="J90" i="125"/>
  <c r="I85" i="125"/>
  <c r="J85" i="125"/>
  <c r="I86" i="125"/>
  <c r="J86" i="125"/>
  <c r="I84" i="125"/>
  <c r="J84" i="125"/>
  <c r="I81" i="125"/>
  <c r="J81" i="125"/>
  <c r="I82" i="125"/>
  <c r="J82" i="125"/>
  <c r="I83" i="125"/>
  <c r="J83" i="125"/>
  <c r="I74" i="125"/>
  <c r="J74" i="125"/>
  <c r="I75" i="125"/>
  <c r="J75" i="125"/>
  <c r="I76" i="125"/>
  <c r="J76" i="125"/>
  <c r="I77" i="125"/>
  <c r="J77" i="125"/>
  <c r="I78" i="125"/>
  <c r="J78" i="125"/>
  <c r="I79" i="125"/>
  <c r="J79" i="125"/>
  <c r="J73" i="125"/>
  <c r="I73" i="125"/>
  <c r="I65" i="125"/>
  <c r="J65" i="125"/>
  <c r="I66" i="125"/>
  <c r="J66" i="125"/>
  <c r="I67" i="125"/>
  <c r="J67" i="125"/>
  <c r="J64" i="125"/>
  <c r="E108" i="97"/>
  <c r="J40" i="125"/>
  <c r="J39" i="125"/>
  <c r="J38" i="125"/>
  <c r="J37" i="125"/>
  <c r="J33" i="125"/>
  <c r="I26" i="97"/>
  <c r="I25" i="97" s="1"/>
  <c r="L25" i="97"/>
  <c r="M26" i="97"/>
  <c r="M25" i="97" s="1"/>
  <c r="N26" i="97"/>
  <c r="N25" i="97" s="1"/>
  <c r="F159" i="97"/>
  <c r="G159" i="97"/>
  <c r="H159" i="97"/>
  <c r="I159" i="97"/>
  <c r="K159" i="97"/>
  <c r="L159" i="97"/>
  <c r="M159" i="97"/>
  <c r="N159" i="97"/>
  <c r="E108" i="142" l="1"/>
  <c r="E108" i="144"/>
  <c r="G122" i="97"/>
  <c r="K26" i="97"/>
  <c r="R26" i="97" s="1"/>
  <c r="G42" i="125"/>
  <c r="J29" i="125"/>
  <c r="J160" i="97"/>
  <c r="J159" i="97" s="1"/>
  <c r="H26" i="97"/>
  <c r="F26" i="97"/>
  <c r="F25" i="97" s="1"/>
  <c r="P36" i="97"/>
  <c r="I33" i="125"/>
  <c r="I37" i="125"/>
  <c r="I38" i="125"/>
  <c r="I39" i="125"/>
  <c r="I40" i="125"/>
  <c r="J57" i="125"/>
  <c r="J56" i="125"/>
  <c r="J53" i="125"/>
  <c r="J50" i="125"/>
  <c r="J49" i="125"/>
  <c r="J47" i="125"/>
  <c r="J121" i="125"/>
  <c r="G122" i="125"/>
  <c r="J119" i="125"/>
  <c r="G120" i="125"/>
  <c r="K39" i="97"/>
  <c r="I47" i="125"/>
  <c r="F39" i="97"/>
  <c r="G39" i="97"/>
  <c r="H39" i="97"/>
  <c r="I39" i="97"/>
  <c r="L39" i="97"/>
  <c r="M39" i="97"/>
  <c r="N39" i="97"/>
  <c r="I49" i="125"/>
  <c r="I51" i="125"/>
  <c r="I53" i="125"/>
  <c r="I56" i="125"/>
  <c r="I57" i="125"/>
  <c r="P36" i="142" l="1"/>
  <c r="P36" i="144"/>
  <c r="H25" i="97"/>
  <c r="O26" i="97"/>
  <c r="J26" i="97" s="1"/>
  <c r="J25" i="97" s="1"/>
  <c r="J46" i="125"/>
  <c r="J45" i="125" s="1"/>
  <c r="J28" i="125"/>
  <c r="J27" i="125" s="1"/>
  <c r="J30" i="97"/>
  <c r="J27" i="97"/>
  <c r="J28" i="97"/>
  <c r="K25" i="97"/>
  <c r="I50" i="125"/>
  <c r="F193" i="97"/>
  <c r="F192" i="97" s="1"/>
  <c r="G193" i="97"/>
  <c r="G192" i="97" s="1"/>
  <c r="H193" i="97"/>
  <c r="H192" i="97" s="1"/>
  <c r="I193" i="97"/>
  <c r="I192" i="97" s="1"/>
  <c r="L193" i="97"/>
  <c r="L192" i="97" s="1"/>
  <c r="M193" i="97"/>
  <c r="M192" i="97" s="1"/>
  <c r="N193" i="97"/>
  <c r="N192" i="97" s="1"/>
  <c r="J27" i="142" l="1"/>
  <c r="J27" i="144"/>
  <c r="J30" i="142"/>
  <c r="J30" i="144"/>
  <c r="J28" i="142"/>
  <c r="J28" i="144"/>
  <c r="O25" i="97"/>
  <c r="I30" i="125"/>
  <c r="I35" i="125"/>
  <c r="I46" i="125"/>
  <c r="I45" i="125" s="1"/>
  <c r="M27" i="125"/>
  <c r="J39" i="97"/>
  <c r="I29" i="125"/>
  <c r="J193" i="97"/>
  <c r="J192" i="97" s="1"/>
  <c r="M45" i="125"/>
  <c r="I28" i="125" l="1"/>
  <c r="I27" i="125" s="1"/>
  <c r="L27" i="125" s="1"/>
  <c r="F188" i="97"/>
  <c r="F187" i="97" s="1"/>
  <c r="G188" i="97"/>
  <c r="G187" i="97" s="1"/>
  <c r="H188" i="97"/>
  <c r="H187" i="97" s="1"/>
  <c r="I188" i="97"/>
  <c r="I187" i="97" s="1"/>
  <c r="K188" i="97"/>
  <c r="R188" i="97" s="1"/>
  <c r="L188" i="97"/>
  <c r="L187" i="97" s="1"/>
  <c r="M188" i="97"/>
  <c r="M187" i="97" s="1"/>
  <c r="N188" i="97"/>
  <c r="N187" i="97" s="1"/>
  <c r="E191" i="97"/>
  <c r="E190" i="97"/>
  <c r="F181" i="97"/>
  <c r="F180" i="97" s="1"/>
  <c r="G181" i="97"/>
  <c r="G180" i="97" s="1"/>
  <c r="H181" i="97"/>
  <c r="H180" i="97" s="1"/>
  <c r="I181" i="97"/>
  <c r="I180" i="97" s="1"/>
  <c r="K181" i="97"/>
  <c r="L181" i="97"/>
  <c r="L180" i="97" s="1"/>
  <c r="M181" i="97"/>
  <c r="M180" i="97" s="1"/>
  <c r="N181" i="97"/>
  <c r="N180" i="97" s="1"/>
  <c r="I208" i="125"/>
  <c r="E183" i="97"/>
  <c r="F169" i="97"/>
  <c r="F168" i="97" s="1"/>
  <c r="G169" i="97"/>
  <c r="G168" i="97" s="1"/>
  <c r="H169" i="97"/>
  <c r="H168" i="97" s="1"/>
  <c r="I169" i="97"/>
  <c r="I168" i="97" s="1"/>
  <c r="K169" i="97"/>
  <c r="M192" i="125" s="1"/>
  <c r="L169" i="97"/>
  <c r="L168" i="97" s="1"/>
  <c r="M169" i="97"/>
  <c r="M168" i="97" s="1"/>
  <c r="N169" i="97"/>
  <c r="N168" i="97" s="1"/>
  <c r="E172" i="97"/>
  <c r="E190" i="142" l="1"/>
  <c r="E190" i="144"/>
  <c r="E191" i="142"/>
  <c r="E191" i="144"/>
  <c r="E172" i="142"/>
  <c r="E169" i="142" s="1"/>
  <c r="E172" i="144"/>
  <c r="E169" i="144" s="1"/>
  <c r="E183" i="142"/>
  <c r="E181" i="142" s="1"/>
  <c r="E183" i="144"/>
  <c r="E181" i="144" s="1"/>
  <c r="E168" i="142"/>
  <c r="P169" i="142"/>
  <c r="P168" i="142" s="1"/>
  <c r="E180" i="142"/>
  <c r="P181" i="142"/>
  <c r="P180" i="142" s="1"/>
  <c r="R169" i="97"/>
  <c r="E169" i="97"/>
  <c r="K180" i="97"/>
  <c r="M205" i="125"/>
  <c r="K187" i="97"/>
  <c r="M211" i="125"/>
  <c r="K168" i="97"/>
  <c r="H214" i="125"/>
  <c r="H215" i="125"/>
  <c r="G215" i="125" s="1"/>
  <c r="J181" i="97"/>
  <c r="J169" i="97"/>
  <c r="L192" i="125" s="1"/>
  <c r="J188" i="97"/>
  <c r="P186" i="97"/>
  <c r="I210" i="125"/>
  <c r="G210" i="125" s="1"/>
  <c r="E181" i="97"/>
  <c r="E180" i="97" s="1"/>
  <c r="H208" i="125"/>
  <c r="H206" i="125" s="1"/>
  <c r="E188" i="97"/>
  <c r="E187" i="97" s="1"/>
  <c r="P183" i="97"/>
  <c r="P191" i="97"/>
  <c r="P190" i="97"/>
  <c r="P172" i="97"/>
  <c r="P183" i="142" l="1"/>
  <c r="P183" i="144"/>
  <c r="P181" i="144"/>
  <c r="P180" i="144" s="1"/>
  <c r="E180" i="144"/>
  <c r="P186" i="142"/>
  <c r="P186" i="144"/>
  <c r="P190" i="142"/>
  <c r="P190" i="144"/>
  <c r="E168" i="144"/>
  <c r="P169" i="144"/>
  <c r="P168" i="144" s="1"/>
  <c r="E188" i="144"/>
  <c r="P172" i="142"/>
  <c r="P172" i="144"/>
  <c r="P191" i="142"/>
  <c r="P191" i="144"/>
  <c r="E188" i="142"/>
  <c r="J187" i="97"/>
  <c r="L211" i="125"/>
  <c r="J168" i="97"/>
  <c r="H212" i="125"/>
  <c r="H211" i="125" s="1"/>
  <c r="K211" i="125" s="1"/>
  <c r="I206" i="125"/>
  <c r="I205" i="125" s="1"/>
  <c r="L205" i="125" s="1"/>
  <c r="E168" i="97"/>
  <c r="K192" i="125"/>
  <c r="J180" i="97"/>
  <c r="G18" i="116" s="1"/>
  <c r="R181" i="97"/>
  <c r="G214" i="125"/>
  <c r="G212" i="125" s="1"/>
  <c r="H205" i="125"/>
  <c r="K205" i="125" s="1"/>
  <c r="G208" i="125"/>
  <c r="E146" i="97"/>
  <c r="I159" i="125"/>
  <c r="I154" i="125"/>
  <c r="I155" i="125"/>
  <c r="I156" i="125"/>
  <c r="I160" i="125"/>
  <c r="I162" i="125"/>
  <c r="I166" i="125"/>
  <c r="I178" i="125"/>
  <c r="G137" i="97"/>
  <c r="E158" i="97"/>
  <c r="E155" i="97"/>
  <c r="E154" i="97"/>
  <c r="E152" i="97"/>
  <c r="E148" i="97"/>
  <c r="E147" i="97"/>
  <c r="E145" i="97"/>
  <c r="E144" i="97"/>
  <c r="E143" i="97"/>
  <c r="E142" i="97"/>
  <c r="E141" i="97"/>
  <c r="E142" i="142" l="1"/>
  <c r="E142" i="144"/>
  <c r="P188" i="142"/>
  <c r="P187" i="142" s="1"/>
  <c r="E187" i="142"/>
  <c r="E147" i="142"/>
  <c r="E147" i="144"/>
  <c r="E143" i="142"/>
  <c r="E143" i="144"/>
  <c r="E148" i="142"/>
  <c r="E148" i="144"/>
  <c r="E158" i="142"/>
  <c r="E158" i="144"/>
  <c r="P188" i="144"/>
  <c r="P187" i="144" s="1"/>
  <c r="E187" i="144"/>
  <c r="E155" i="142"/>
  <c r="E155" i="144"/>
  <c r="E144" i="142"/>
  <c r="E144" i="144"/>
  <c r="E152" i="142"/>
  <c r="E152" i="144"/>
  <c r="E141" i="142"/>
  <c r="E141" i="144"/>
  <c r="E145" i="142"/>
  <c r="E145" i="144"/>
  <c r="E154" i="142"/>
  <c r="E154" i="144"/>
  <c r="E146" i="142"/>
  <c r="E146" i="144"/>
  <c r="E138" i="97"/>
  <c r="H181" i="125"/>
  <c r="G181" i="125" s="1"/>
  <c r="H157" i="125"/>
  <c r="G157" i="125" s="1"/>
  <c r="G206" i="125"/>
  <c r="G205" i="125" s="1"/>
  <c r="O154" i="97"/>
  <c r="K138" i="97"/>
  <c r="R138" i="97" s="1"/>
  <c r="H154" i="125"/>
  <c r="G154" i="125" s="1"/>
  <c r="H160" i="125"/>
  <c r="G160" i="125" s="1"/>
  <c r="H168" i="125"/>
  <c r="G168" i="125" s="1"/>
  <c r="H155" i="125"/>
  <c r="G155" i="125" s="1"/>
  <c r="H162" i="125"/>
  <c r="G162" i="125" s="1"/>
  <c r="H178" i="125"/>
  <c r="G178" i="125" s="1"/>
  <c r="H159" i="125"/>
  <c r="G159" i="125" s="1"/>
  <c r="H156" i="125"/>
  <c r="G156" i="125" s="1"/>
  <c r="H166" i="125"/>
  <c r="G166" i="125" s="1"/>
  <c r="I150" i="125"/>
  <c r="I147" i="125" s="1"/>
  <c r="H150" i="125"/>
  <c r="P155" i="97"/>
  <c r="P143" i="97"/>
  <c r="P142" i="97"/>
  <c r="P147" i="97"/>
  <c r="P158" i="97"/>
  <c r="P146" i="97"/>
  <c r="P152" i="97"/>
  <c r="P144" i="97"/>
  <c r="P148" i="97"/>
  <c r="P141" i="97"/>
  <c r="P145" i="97"/>
  <c r="E138" i="142" l="1"/>
  <c r="P141" i="142"/>
  <c r="P141" i="144"/>
  <c r="P146" i="142"/>
  <c r="P146" i="144"/>
  <c r="P143" i="142"/>
  <c r="P143" i="144"/>
  <c r="P148" i="142"/>
  <c r="P148" i="144"/>
  <c r="P158" i="142"/>
  <c r="P158" i="144"/>
  <c r="P155" i="142"/>
  <c r="P155" i="144"/>
  <c r="P144" i="142"/>
  <c r="P144" i="144"/>
  <c r="P147" i="142"/>
  <c r="P147" i="144"/>
  <c r="O154" i="142"/>
  <c r="O138" i="142" s="1"/>
  <c r="O154" i="144"/>
  <c r="O138" i="144" s="1"/>
  <c r="E138" i="144"/>
  <c r="P145" i="142"/>
  <c r="P145" i="144"/>
  <c r="P152" i="142"/>
  <c r="P152" i="144"/>
  <c r="P142" i="142"/>
  <c r="P142" i="144"/>
  <c r="O137" i="142"/>
  <c r="J138" i="142"/>
  <c r="J137" i="142" s="1"/>
  <c r="E137" i="142"/>
  <c r="E137" i="97"/>
  <c r="O138" i="97"/>
  <c r="O137" i="97" s="1"/>
  <c r="H147" i="125"/>
  <c r="H146" i="125" s="1"/>
  <c r="I146" i="125"/>
  <c r="M146" i="125"/>
  <c r="J154" i="97"/>
  <c r="K137" i="97"/>
  <c r="G150" i="125"/>
  <c r="G147" i="125" s="1"/>
  <c r="J108" i="125"/>
  <c r="J144" i="125"/>
  <c r="I144" i="125"/>
  <c r="H144" i="125"/>
  <c r="J142" i="125"/>
  <c r="J137" i="125"/>
  <c r="J136" i="125"/>
  <c r="J135" i="125"/>
  <c r="J134" i="125"/>
  <c r="J133" i="125"/>
  <c r="J132" i="125"/>
  <c r="J129" i="125"/>
  <c r="J128" i="125"/>
  <c r="J127" i="125"/>
  <c r="I128" i="125"/>
  <c r="I129" i="125"/>
  <c r="I132" i="125"/>
  <c r="I133" i="125"/>
  <c r="I134" i="125"/>
  <c r="I135" i="125"/>
  <c r="I136" i="125"/>
  <c r="I137" i="125"/>
  <c r="I142" i="125"/>
  <c r="I127" i="125"/>
  <c r="G121" i="97"/>
  <c r="H121" i="97"/>
  <c r="I121" i="97"/>
  <c r="K121" i="97"/>
  <c r="L121" i="97"/>
  <c r="M121" i="97"/>
  <c r="N121" i="97"/>
  <c r="J109" i="125"/>
  <c r="H109" i="125"/>
  <c r="J97" i="125"/>
  <c r="I97" i="125"/>
  <c r="G98" i="125"/>
  <c r="J94" i="125"/>
  <c r="I94" i="125"/>
  <c r="J68" i="125"/>
  <c r="J69" i="125"/>
  <c r="I69" i="125"/>
  <c r="J71" i="125"/>
  <c r="I71" i="125"/>
  <c r="J70" i="125"/>
  <c r="I70" i="125"/>
  <c r="J72" i="125"/>
  <c r="I72" i="125"/>
  <c r="I99" i="125"/>
  <c r="J99" i="125"/>
  <c r="J105" i="125"/>
  <c r="G106" i="125"/>
  <c r="J104" i="125"/>
  <c r="J91" i="125"/>
  <c r="I68" i="125"/>
  <c r="I108" i="125"/>
  <c r="I109" i="125"/>
  <c r="I91" i="125"/>
  <c r="I104" i="125"/>
  <c r="I64" i="125"/>
  <c r="K11" i="107"/>
  <c r="K10" i="107" s="1"/>
  <c r="L11" i="107"/>
  <c r="L10" i="107" s="1"/>
  <c r="J11" i="107"/>
  <c r="J10" i="107" s="1"/>
  <c r="G11" i="107"/>
  <c r="G10" i="107" s="1"/>
  <c r="H11" i="107"/>
  <c r="H10" i="107" s="1"/>
  <c r="F11" i="107"/>
  <c r="O13" i="107"/>
  <c r="O12" i="107"/>
  <c r="N12" i="107"/>
  <c r="M12" i="107"/>
  <c r="I12" i="107"/>
  <c r="I11" i="107" s="1"/>
  <c r="G123" i="125"/>
  <c r="J113" i="125"/>
  <c r="J116" i="125"/>
  <c r="J112" i="125"/>
  <c r="I121" i="125"/>
  <c r="K111" i="97"/>
  <c r="L111" i="97"/>
  <c r="M111" i="97"/>
  <c r="N111" i="97"/>
  <c r="I113" i="125"/>
  <c r="I116" i="125"/>
  <c r="I119" i="125"/>
  <c r="I112" i="125"/>
  <c r="G111" i="97"/>
  <c r="H111" i="97"/>
  <c r="J154" i="142" l="1"/>
  <c r="J154" i="144"/>
  <c r="E137" i="144"/>
  <c r="P138" i="144"/>
  <c r="P137" i="144" s="1"/>
  <c r="O137" i="144"/>
  <c r="J138" i="144"/>
  <c r="J137" i="144" s="1"/>
  <c r="P138" i="142"/>
  <c r="P137" i="142" s="1"/>
  <c r="J62" i="125"/>
  <c r="J61" i="125" s="1"/>
  <c r="K146" i="125"/>
  <c r="J138" i="97"/>
  <c r="P138" i="97" s="1"/>
  <c r="P137" i="97" s="1"/>
  <c r="P154" i="97"/>
  <c r="I111" i="125"/>
  <c r="I110" i="125" s="1"/>
  <c r="J111" i="125"/>
  <c r="J110" i="125" s="1"/>
  <c r="M110" i="125" s="1"/>
  <c r="G146" i="125"/>
  <c r="E112" i="97"/>
  <c r="E111" i="97" s="1"/>
  <c r="F111" i="97"/>
  <c r="P11" i="107"/>
  <c r="P10" i="107" s="1"/>
  <c r="P14" i="107" s="1"/>
  <c r="J122" i="97"/>
  <c r="J121" i="97" s="1"/>
  <c r="J112" i="97"/>
  <c r="J111" i="97" s="1"/>
  <c r="O11" i="107"/>
  <c r="O10" i="107" s="1"/>
  <c r="O14" i="107" s="1"/>
  <c r="I10" i="107"/>
  <c r="Q12" i="107"/>
  <c r="I105" i="125"/>
  <c r="I126" i="125"/>
  <c r="I125" i="125" s="1"/>
  <c r="J126" i="125"/>
  <c r="J125" i="125" s="1"/>
  <c r="M125" i="125" s="1"/>
  <c r="P108" i="97"/>
  <c r="G144" i="125"/>
  <c r="G109" i="125"/>
  <c r="I189" i="125"/>
  <c r="I188" i="125"/>
  <c r="I187" i="125"/>
  <c r="P154" i="142" l="1"/>
  <c r="P154" i="144"/>
  <c r="P108" i="142"/>
  <c r="P108" i="144"/>
  <c r="J137" i="97"/>
  <c r="Q138" i="97"/>
  <c r="L146" i="125"/>
  <c r="I183" i="125"/>
  <c r="L183" i="125" s="1"/>
  <c r="L125" i="125"/>
  <c r="P112" i="97"/>
  <c r="G187" i="125"/>
  <c r="J188" i="125"/>
  <c r="G188" i="125"/>
  <c r="J189" i="125"/>
  <c r="G189" i="125"/>
  <c r="L110" i="125"/>
  <c r="J187" i="125"/>
  <c r="I182" i="125" l="1"/>
  <c r="G183" i="125"/>
  <c r="G182" i="125" s="1"/>
  <c r="J183" i="125"/>
  <c r="M183" i="125" s="1"/>
  <c r="J182" i="125" l="1"/>
  <c r="J219" i="125" l="1"/>
  <c r="F136" i="97" l="1"/>
  <c r="F136" i="142" l="1"/>
  <c r="F122" i="142" s="1"/>
  <c r="F121" i="142" s="1"/>
  <c r="F136" i="144"/>
  <c r="F122" i="144" s="1"/>
  <c r="F122" i="97"/>
  <c r="F121" i="97" s="1"/>
  <c r="E136" i="97"/>
  <c r="E136" i="142" l="1"/>
  <c r="E136" i="144"/>
  <c r="F198" i="142"/>
  <c r="F121" i="144"/>
  <c r="F198" i="144"/>
  <c r="H143" i="125"/>
  <c r="G143" i="125" s="1"/>
  <c r="P136" i="97"/>
  <c r="P136" i="142" l="1"/>
  <c r="P136" i="144"/>
  <c r="E75" i="97"/>
  <c r="E106" i="97"/>
  <c r="E75" i="142" l="1"/>
  <c r="E75" i="144"/>
  <c r="E106" i="142"/>
  <c r="E106" i="144"/>
  <c r="H108" i="125"/>
  <c r="G108" i="125" s="1"/>
  <c r="H83" i="125"/>
  <c r="G83" i="125" s="1"/>
  <c r="P75" i="97"/>
  <c r="P75" i="142" l="1"/>
  <c r="P75" i="144"/>
  <c r="P106" i="97"/>
  <c r="P106" i="142" l="1"/>
  <c r="P106" i="144"/>
  <c r="E48" i="97"/>
  <c r="E47" i="97"/>
  <c r="E48" i="142" l="1"/>
  <c r="E48" i="144"/>
  <c r="E47" i="142"/>
  <c r="E47" i="144"/>
  <c r="H54" i="125"/>
  <c r="G54" i="125" s="1"/>
  <c r="H55" i="125"/>
  <c r="G55" i="125" s="1"/>
  <c r="E126" i="97"/>
  <c r="E126" i="142" l="1"/>
  <c r="E126" i="144"/>
  <c r="H130" i="125"/>
  <c r="G130" i="125" s="1"/>
  <c r="P47" i="97"/>
  <c r="P48" i="97"/>
  <c r="P126" i="97"/>
  <c r="P47" i="142" l="1"/>
  <c r="P47" i="144"/>
  <c r="P126" i="142"/>
  <c r="P126" i="144"/>
  <c r="P48" i="142"/>
  <c r="P48" i="144"/>
  <c r="E88" i="97"/>
  <c r="E88" i="142" l="1"/>
  <c r="E88" i="144"/>
  <c r="H97" i="125"/>
  <c r="G97" i="125" s="1"/>
  <c r="E77" i="97"/>
  <c r="E74" i="97"/>
  <c r="E78" i="97"/>
  <c r="E77" i="142" l="1"/>
  <c r="E77" i="144"/>
  <c r="E78" i="142"/>
  <c r="E78" i="144"/>
  <c r="E74" i="142"/>
  <c r="E74" i="144"/>
  <c r="H85" i="125"/>
  <c r="G85" i="125" s="1"/>
  <c r="H82" i="125"/>
  <c r="G82" i="125" s="1"/>
  <c r="H86" i="125"/>
  <c r="G86" i="125" s="1"/>
  <c r="E76" i="97"/>
  <c r="P78" i="97"/>
  <c r="P77" i="97"/>
  <c r="P77" i="142" l="1"/>
  <c r="P77" i="144"/>
  <c r="P78" i="142"/>
  <c r="P78" i="144"/>
  <c r="E76" i="142"/>
  <c r="E76" i="144"/>
  <c r="H84" i="125"/>
  <c r="G84" i="125" s="1"/>
  <c r="P74" i="97"/>
  <c r="P76" i="97"/>
  <c r="P74" i="142" l="1"/>
  <c r="P74" i="144"/>
  <c r="P76" i="142"/>
  <c r="P76" i="144"/>
  <c r="E135" i="97"/>
  <c r="E135" i="142" l="1"/>
  <c r="E135" i="144"/>
  <c r="H142" i="125"/>
  <c r="G142" i="125" s="1"/>
  <c r="P135" i="97"/>
  <c r="P135" i="142" l="1"/>
  <c r="P135" i="144"/>
  <c r="E119" i="97"/>
  <c r="E118" i="97"/>
  <c r="E105" i="97"/>
  <c r="E105" i="144" s="1"/>
  <c r="E104" i="97"/>
  <c r="E50" i="97"/>
  <c r="E33" i="97"/>
  <c r="E33" i="142" l="1"/>
  <c r="E33" i="144"/>
  <c r="E50" i="142"/>
  <c r="E50" i="144"/>
  <c r="E104" i="142"/>
  <c r="E104" i="144"/>
  <c r="E118" i="142"/>
  <c r="E118" i="144"/>
  <c r="E119" i="142"/>
  <c r="E119" i="144"/>
  <c r="H105" i="125"/>
  <c r="E105" i="142"/>
  <c r="H57" i="125"/>
  <c r="G57" i="125" s="1"/>
  <c r="H39" i="125"/>
  <c r="G39" i="125" s="1"/>
  <c r="H104" i="125"/>
  <c r="G104" i="125" s="1"/>
  <c r="H40" i="125"/>
  <c r="G40" i="125" s="1"/>
  <c r="H119" i="125"/>
  <c r="G119" i="125" s="1"/>
  <c r="H121" i="125"/>
  <c r="G121" i="125" s="1"/>
  <c r="E49" i="97"/>
  <c r="P34" i="97"/>
  <c r="E49" i="142" l="1"/>
  <c r="E49" i="144"/>
  <c r="P34" i="142"/>
  <c r="P34" i="144"/>
  <c r="G105" i="125"/>
  <c r="H56" i="125"/>
  <c r="G56" i="125" s="1"/>
  <c r="P118" i="97"/>
  <c r="P104" i="97"/>
  <c r="P119" i="97"/>
  <c r="P50" i="97"/>
  <c r="P49" i="97"/>
  <c r="P105" i="97"/>
  <c r="P33" i="97"/>
  <c r="P105" i="142" l="1"/>
  <c r="P105" i="144"/>
  <c r="P118" i="142"/>
  <c r="P118" i="144"/>
  <c r="P50" i="142"/>
  <c r="P50" i="144"/>
  <c r="P104" i="142"/>
  <c r="P104" i="144"/>
  <c r="P49" i="142"/>
  <c r="P49" i="144"/>
  <c r="P33" i="142"/>
  <c r="P33" i="144"/>
  <c r="P119" i="142"/>
  <c r="P119" i="144"/>
  <c r="E166" i="97"/>
  <c r="E165" i="97"/>
  <c r="E164" i="97"/>
  <c r="E165" i="142" l="1"/>
  <c r="E165" i="144"/>
  <c r="E166" i="142"/>
  <c r="E166" i="144"/>
  <c r="E164" i="142"/>
  <c r="E164" i="144"/>
  <c r="E160" i="97"/>
  <c r="K183" i="125" s="1"/>
  <c r="P165" i="97"/>
  <c r="P166" i="97"/>
  <c r="P164" i="97"/>
  <c r="E18" i="97"/>
  <c r="E160" i="144" l="1"/>
  <c r="P164" i="142"/>
  <c r="P164" i="144"/>
  <c r="P166" i="142"/>
  <c r="P166" i="144"/>
  <c r="P165" i="142"/>
  <c r="P165" i="144"/>
  <c r="E159" i="144"/>
  <c r="P160" i="144"/>
  <c r="P159" i="144" s="1"/>
  <c r="E18" i="142"/>
  <c r="E18" i="144"/>
  <c r="E160" i="142"/>
  <c r="P160" i="97"/>
  <c r="Q160" i="97" s="1"/>
  <c r="E159" i="97"/>
  <c r="P18" i="97"/>
  <c r="E159" i="142" l="1"/>
  <c r="P160" i="142"/>
  <c r="P159" i="142" s="1"/>
  <c r="P18" i="142"/>
  <c r="P18" i="144"/>
  <c r="E176" i="97"/>
  <c r="E177" i="97"/>
  <c r="E178" i="97"/>
  <c r="E177" i="142" l="1"/>
  <c r="E177" i="144"/>
  <c r="E178" i="142"/>
  <c r="E178" i="144"/>
  <c r="E176" i="142"/>
  <c r="E176" i="144"/>
  <c r="K199" i="125"/>
  <c r="K202" i="125"/>
  <c r="K201" i="125"/>
  <c r="P178" i="97"/>
  <c r="P177" i="97"/>
  <c r="P176" i="97"/>
  <c r="P178" i="142" l="1"/>
  <c r="P178" i="144"/>
  <c r="E174" i="144"/>
  <c r="P176" i="142"/>
  <c r="P176" i="144"/>
  <c r="P177" i="142"/>
  <c r="P177" i="144"/>
  <c r="E174" i="142"/>
  <c r="E19" i="97"/>
  <c r="P174" i="142" l="1"/>
  <c r="P173" i="142" s="1"/>
  <c r="E173" i="142"/>
  <c r="E173" i="144"/>
  <c r="P174" i="144"/>
  <c r="P173" i="144" s="1"/>
  <c r="E19" i="142"/>
  <c r="E19" i="144"/>
  <c r="P19" i="97"/>
  <c r="P19" i="142" l="1"/>
  <c r="P19" i="144"/>
  <c r="Q19" i="97"/>
  <c r="E46" i="97"/>
  <c r="E46" i="142" l="1"/>
  <c r="E46" i="144"/>
  <c r="H53" i="125"/>
  <c r="G53" i="125" s="1"/>
  <c r="P46" i="97"/>
  <c r="P46" i="142" l="1"/>
  <c r="P46" i="144"/>
  <c r="E195" i="97"/>
  <c r="E195" i="142" l="1"/>
  <c r="E195" i="144"/>
  <c r="E124" i="97"/>
  <c r="E101" i="97"/>
  <c r="E124" i="142" l="1"/>
  <c r="E124" i="144"/>
  <c r="E101" i="142"/>
  <c r="E101" i="144"/>
  <c r="H101" i="125"/>
  <c r="G101" i="125" s="1"/>
  <c r="H128" i="125"/>
  <c r="G128" i="125" s="1"/>
  <c r="E175" i="97"/>
  <c r="E174" i="97" s="1"/>
  <c r="K198" i="125" l="1"/>
  <c r="P175" i="97"/>
  <c r="K196" i="125" l="1"/>
  <c r="E173" i="97"/>
  <c r="N13" i="107"/>
  <c r="E45" i="97" l="1"/>
  <c r="E45" i="142" l="1"/>
  <c r="E45" i="144"/>
  <c r="H51" i="125"/>
  <c r="G51" i="125" s="1"/>
  <c r="N11" i="107"/>
  <c r="N10" i="107" s="1"/>
  <c r="N14" i="107" s="1"/>
  <c r="F10" i="107"/>
  <c r="F14" i="107" s="1"/>
  <c r="E116" i="97" l="1"/>
  <c r="E29" i="108"/>
  <c r="E15" i="108"/>
  <c r="L14" i="107"/>
  <c r="J14" i="107"/>
  <c r="H14" i="107"/>
  <c r="E16" i="97"/>
  <c r="E15" i="97"/>
  <c r="E27" i="97"/>
  <c r="E32" i="97"/>
  <c r="E29" i="97"/>
  <c r="E30" i="97"/>
  <c r="E89" i="97"/>
  <c r="E44" i="97"/>
  <c r="E43" i="97"/>
  <c r="E42" i="97"/>
  <c r="E132" i="97"/>
  <c r="E131" i="97"/>
  <c r="E129" i="97"/>
  <c r="E128" i="97"/>
  <c r="E127" i="97"/>
  <c r="E125" i="97"/>
  <c r="E22" i="97"/>
  <c r="E57" i="97"/>
  <c r="E56" i="97"/>
  <c r="E67" i="97"/>
  <c r="E31" i="97"/>
  <c r="E64" i="97"/>
  <c r="E58" i="97"/>
  <c r="E62" i="97"/>
  <c r="E61" i="97"/>
  <c r="E60" i="97"/>
  <c r="E65" i="97"/>
  <c r="E71" i="97"/>
  <c r="E66" i="97"/>
  <c r="E70" i="97"/>
  <c r="E69" i="97"/>
  <c r="E68" i="97"/>
  <c r="E83" i="97"/>
  <c r="E59" i="97"/>
  <c r="E123" i="97"/>
  <c r="E84" i="97"/>
  <c r="E70" i="142" l="1"/>
  <c r="E70" i="144"/>
  <c r="E60" i="142"/>
  <c r="E60" i="144"/>
  <c r="E64" i="142"/>
  <c r="E64" i="144"/>
  <c r="E57" i="142"/>
  <c r="E57" i="144"/>
  <c r="E128" i="142"/>
  <c r="E128" i="144"/>
  <c r="E42" i="142"/>
  <c r="E42" i="144"/>
  <c r="E30" i="142"/>
  <c r="E30" i="144"/>
  <c r="E15" i="142"/>
  <c r="E15" i="144"/>
  <c r="E59" i="142"/>
  <c r="E59" i="144"/>
  <c r="E83" i="142"/>
  <c r="E83" i="144"/>
  <c r="E66" i="142"/>
  <c r="E66" i="144"/>
  <c r="E61" i="142"/>
  <c r="E61" i="144"/>
  <c r="E31" i="142"/>
  <c r="E31" i="144"/>
  <c r="E22" i="142"/>
  <c r="E22" i="144"/>
  <c r="E129" i="142"/>
  <c r="E129" i="144"/>
  <c r="E43" i="142"/>
  <c r="E43" i="144"/>
  <c r="E29" i="142"/>
  <c r="E29" i="144"/>
  <c r="E16" i="142"/>
  <c r="E16" i="144"/>
  <c r="E84" i="142"/>
  <c r="E84" i="144"/>
  <c r="E68" i="142"/>
  <c r="E68" i="144"/>
  <c r="E71" i="142"/>
  <c r="E71" i="144"/>
  <c r="E62" i="142"/>
  <c r="E62" i="144"/>
  <c r="E67" i="142"/>
  <c r="E67" i="144"/>
  <c r="E125" i="142"/>
  <c r="E125" i="144"/>
  <c r="E131" i="142"/>
  <c r="E131" i="144"/>
  <c r="E44" i="142"/>
  <c r="E44" i="144"/>
  <c r="E32" i="142"/>
  <c r="E32" i="144"/>
  <c r="E123" i="142"/>
  <c r="E123" i="144"/>
  <c r="E69" i="142"/>
  <c r="E69" i="144"/>
  <c r="E65" i="142"/>
  <c r="E65" i="144"/>
  <c r="E58" i="142"/>
  <c r="E58" i="144"/>
  <c r="E56" i="142"/>
  <c r="E56" i="144"/>
  <c r="E127" i="142"/>
  <c r="E127" i="144"/>
  <c r="E132" i="142"/>
  <c r="E132" i="144"/>
  <c r="E89" i="142"/>
  <c r="E89" i="144"/>
  <c r="E27" i="142"/>
  <c r="E27" i="144"/>
  <c r="E116" i="142"/>
  <c r="E116" i="144"/>
  <c r="E17" i="108"/>
  <c r="F29" i="108" s="1"/>
  <c r="H137" i="125"/>
  <c r="G137" i="125" s="1"/>
  <c r="H47" i="125"/>
  <c r="G47" i="125" s="1"/>
  <c r="H35" i="125"/>
  <c r="G35" i="125" s="1"/>
  <c r="H92" i="125"/>
  <c r="G92" i="125" s="1"/>
  <c r="E40" i="97"/>
  <c r="P40" i="97" s="1"/>
  <c r="G29" i="108"/>
  <c r="G18" i="108" s="1"/>
  <c r="H91" i="125"/>
  <c r="G91" i="125" s="1"/>
  <c r="H65" i="125"/>
  <c r="G65" i="125" s="1"/>
  <c r="H79" i="125"/>
  <c r="G79" i="125" s="1"/>
  <c r="H70" i="125"/>
  <c r="G70" i="125" s="1"/>
  <c r="H37" i="125"/>
  <c r="G37" i="125" s="1"/>
  <c r="H134" i="125"/>
  <c r="G134" i="125" s="1"/>
  <c r="H33" i="125"/>
  <c r="G33" i="125" s="1"/>
  <c r="H74" i="125"/>
  <c r="G74" i="125" s="1"/>
  <c r="H69" i="125"/>
  <c r="G69" i="125" s="1"/>
  <c r="H133" i="125"/>
  <c r="G133" i="125" s="1"/>
  <c r="H127" i="125"/>
  <c r="H77" i="125"/>
  <c r="G77" i="125" s="1"/>
  <c r="H66" i="125"/>
  <c r="G66" i="125" s="1"/>
  <c r="H129" i="125"/>
  <c r="G129" i="125" s="1"/>
  <c r="H136" i="125"/>
  <c r="G136" i="125" s="1"/>
  <c r="H50" i="125"/>
  <c r="G50" i="125" s="1"/>
  <c r="H38" i="125"/>
  <c r="G38" i="125" s="1"/>
  <c r="H76" i="125"/>
  <c r="G76" i="125" s="1"/>
  <c r="H73" i="125"/>
  <c r="G73" i="125" s="1"/>
  <c r="H67" i="125"/>
  <c r="G67" i="125" s="1"/>
  <c r="H78" i="125"/>
  <c r="G78" i="125" s="1"/>
  <c r="H68" i="125"/>
  <c r="G68" i="125" s="1"/>
  <c r="H72" i="125"/>
  <c r="G72" i="125" s="1"/>
  <c r="H132" i="125"/>
  <c r="G132" i="125" s="1"/>
  <c r="H99" i="125"/>
  <c r="G99" i="125" s="1"/>
  <c r="H116" i="125"/>
  <c r="G116" i="125" s="1"/>
  <c r="H75" i="125"/>
  <c r="G75" i="125" s="1"/>
  <c r="H64" i="125"/>
  <c r="H49" i="125"/>
  <c r="G49" i="125" s="1"/>
  <c r="H29" i="125"/>
  <c r="G29" i="125" s="1"/>
  <c r="E115" i="97"/>
  <c r="E197" i="97"/>
  <c r="E82" i="97"/>
  <c r="E87" i="97"/>
  <c r="E113" i="97"/>
  <c r="E73" i="97"/>
  <c r="E86" i="97"/>
  <c r="E117" i="97"/>
  <c r="M13" i="107"/>
  <c r="K14" i="107"/>
  <c r="E196" i="97"/>
  <c r="E17" i="97"/>
  <c r="P22" i="97"/>
  <c r="E21" i="97"/>
  <c r="E134" i="97"/>
  <c r="E130" i="97"/>
  <c r="E114" i="97"/>
  <c r="G13" i="97"/>
  <c r="E63" i="97"/>
  <c r="E28" i="97"/>
  <c r="E40" i="144" l="1"/>
  <c r="E73" i="142"/>
  <c r="E73" i="144"/>
  <c r="P22" i="142"/>
  <c r="P22" i="144"/>
  <c r="E113" i="142"/>
  <c r="E113" i="144"/>
  <c r="E115" i="142"/>
  <c r="E115" i="144"/>
  <c r="E40" i="142"/>
  <c r="E21" i="142"/>
  <c r="E21" i="144"/>
  <c r="E114" i="142"/>
  <c r="E114" i="144"/>
  <c r="E130" i="142"/>
  <c r="E130" i="144"/>
  <c r="E122" i="144" s="1"/>
  <c r="E117" i="142"/>
  <c r="E117" i="144"/>
  <c r="E87" i="142"/>
  <c r="E87" i="144"/>
  <c r="E197" i="142"/>
  <c r="E197" i="144"/>
  <c r="E28" i="142"/>
  <c r="E26" i="142" s="1"/>
  <c r="E25" i="142" s="1"/>
  <c r="E28" i="144"/>
  <c r="E26" i="144" s="1"/>
  <c r="E17" i="142"/>
  <c r="E17" i="144"/>
  <c r="E63" i="142"/>
  <c r="E63" i="144"/>
  <c r="E134" i="142"/>
  <c r="E134" i="144"/>
  <c r="E196" i="142"/>
  <c r="E193" i="142" s="1"/>
  <c r="E196" i="144"/>
  <c r="E193" i="144" s="1"/>
  <c r="E86" i="142"/>
  <c r="E86" i="144"/>
  <c r="E82" i="142"/>
  <c r="E82" i="144"/>
  <c r="E192" i="142"/>
  <c r="P193" i="142"/>
  <c r="P192" i="142" s="1"/>
  <c r="G64" i="125"/>
  <c r="H140" i="125"/>
  <c r="G140" i="125" s="1"/>
  <c r="H114" i="125"/>
  <c r="G114" i="125" s="1"/>
  <c r="E14" i="97"/>
  <c r="E13" i="97" s="1"/>
  <c r="H117" i="125"/>
  <c r="G117" i="125" s="1"/>
  <c r="P87" i="97"/>
  <c r="E122" i="97"/>
  <c r="H46" i="125"/>
  <c r="H45" i="125" s="1"/>
  <c r="P39" i="97"/>
  <c r="E26" i="97"/>
  <c r="H30" i="125"/>
  <c r="G30" i="125" s="1"/>
  <c r="G127" i="125"/>
  <c r="H95" i="125"/>
  <c r="G95" i="125" s="1"/>
  <c r="H17" i="125"/>
  <c r="H81" i="125"/>
  <c r="G81" i="125" s="1"/>
  <c r="H71" i="125"/>
  <c r="G71" i="125" s="1"/>
  <c r="H90" i="125"/>
  <c r="G90" i="125" s="1"/>
  <c r="H113" i="125"/>
  <c r="G113" i="125" s="1"/>
  <c r="H112" i="125"/>
  <c r="H15" i="125"/>
  <c r="H96" i="125"/>
  <c r="G96" i="125" s="1"/>
  <c r="E39" i="97"/>
  <c r="E193" i="97"/>
  <c r="E192" i="97" s="1"/>
  <c r="Q13" i="107"/>
  <c r="M11" i="107"/>
  <c r="G46" i="125"/>
  <c r="H135" i="125"/>
  <c r="P57" i="97"/>
  <c r="P15" i="97"/>
  <c r="P131" i="97"/>
  <c r="P58" i="97"/>
  <c r="P60" i="97"/>
  <c r="P56" i="97"/>
  <c r="E85" i="97"/>
  <c r="P59" i="97"/>
  <c r="P101" i="97"/>
  <c r="P197" i="97"/>
  <c r="P64" i="97"/>
  <c r="P84" i="97"/>
  <c r="P61" i="97"/>
  <c r="P62" i="97"/>
  <c r="P42" i="97"/>
  <c r="P195" i="97"/>
  <c r="P44" i="97"/>
  <c r="P68" i="97"/>
  <c r="P116" i="97"/>
  <c r="P16" i="97"/>
  <c r="P65" i="97"/>
  <c r="P71" i="97"/>
  <c r="P127" i="97"/>
  <c r="P29" i="97"/>
  <c r="P125" i="97"/>
  <c r="P67" i="97"/>
  <c r="P89" i="97"/>
  <c r="P134" i="97"/>
  <c r="P124" i="97"/>
  <c r="P31" i="97"/>
  <c r="P30" i="97"/>
  <c r="P82" i="97"/>
  <c r="P70" i="97"/>
  <c r="P43" i="97"/>
  <c r="P66" i="97"/>
  <c r="P123" i="97"/>
  <c r="P73" i="97"/>
  <c r="P69" i="97"/>
  <c r="P86" i="97"/>
  <c r="P196" i="97"/>
  <c r="P132" i="97"/>
  <c r="P128" i="97"/>
  <c r="P32" i="97"/>
  <c r="P63" i="97"/>
  <c r="P27" i="97"/>
  <c r="P83" i="97"/>
  <c r="P114" i="97"/>
  <c r="P28" i="97"/>
  <c r="E14" i="144" l="1"/>
  <c r="E14" i="142"/>
  <c r="P26" i="142"/>
  <c r="P25" i="142" s="1"/>
  <c r="P122" i="144"/>
  <c r="P121" i="144" s="1"/>
  <c r="E121" i="144"/>
  <c r="E13" i="144"/>
  <c r="P14" i="144"/>
  <c r="E25" i="144"/>
  <c r="P26" i="144"/>
  <c r="P25" i="144" s="1"/>
  <c r="P73" i="142"/>
  <c r="P73" i="144"/>
  <c r="P124" i="142"/>
  <c r="P124" i="144"/>
  <c r="P125" i="142"/>
  <c r="P125" i="144"/>
  <c r="P65" i="142"/>
  <c r="P65" i="144"/>
  <c r="P44" i="142"/>
  <c r="P44" i="144"/>
  <c r="P61" i="142"/>
  <c r="P61" i="144"/>
  <c r="P101" i="142"/>
  <c r="P101" i="144"/>
  <c r="P60" i="142"/>
  <c r="P60" i="144"/>
  <c r="P57" i="142"/>
  <c r="P57" i="144"/>
  <c r="P193" i="144"/>
  <c r="P192" i="144" s="1"/>
  <c r="E192" i="144"/>
  <c r="P83" i="142"/>
  <c r="P83" i="144"/>
  <c r="P132" i="142"/>
  <c r="P132" i="144"/>
  <c r="P28" i="142"/>
  <c r="P28" i="144"/>
  <c r="P63" i="142"/>
  <c r="P63" i="144"/>
  <c r="P196" i="142"/>
  <c r="P196" i="144"/>
  <c r="P123" i="142"/>
  <c r="P123" i="144"/>
  <c r="P82" i="142"/>
  <c r="P82" i="144"/>
  <c r="P134" i="142"/>
  <c r="P134" i="144"/>
  <c r="P29" i="142"/>
  <c r="P29" i="144"/>
  <c r="P16" i="142"/>
  <c r="P16" i="144"/>
  <c r="P195" i="142"/>
  <c r="P195" i="144"/>
  <c r="P84" i="142"/>
  <c r="P84" i="144"/>
  <c r="P59" i="142"/>
  <c r="P59" i="144"/>
  <c r="P58" i="142"/>
  <c r="P58" i="144"/>
  <c r="E122" i="142"/>
  <c r="P27" i="142"/>
  <c r="P27" i="144"/>
  <c r="P70" i="142"/>
  <c r="P70" i="144"/>
  <c r="P114" i="142"/>
  <c r="P114" i="144"/>
  <c r="P32" i="142"/>
  <c r="P32" i="144"/>
  <c r="P86" i="142"/>
  <c r="P86" i="144"/>
  <c r="P66" i="142"/>
  <c r="P66" i="144"/>
  <c r="P30" i="142"/>
  <c r="P30" i="144"/>
  <c r="P89" i="142"/>
  <c r="P89" i="144"/>
  <c r="P127" i="142"/>
  <c r="P127" i="144"/>
  <c r="P116" i="142"/>
  <c r="P116" i="144"/>
  <c r="P42" i="142"/>
  <c r="P42" i="144"/>
  <c r="P64" i="142"/>
  <c r="P64" i="144"/>
  <c r="E85" i="142"/>
  <c r="E85" i="144"/>
  <c r="P131" i="142"/>
  <c r="P131" i="144"/>
  <c r="P87" i="142"/>
  <c r="P87" i="144"/>
  <c r="E39" i="142"/>
  <c r="P40" i="142"/>
  <c r="P39" i="142" s="1"/>
  <c r="P128" i="142"/>
  <c r="P128" i="144"/>
  <c r="P69" i="142"/>
  <c r="P69" i="144"/>
  <c r="P43" i="142"/>
  <c r="P43" i="144"/>
  <c r="P31" i="142"/>
  <c r="P31" i="144"/>
  <c r="P67" i="142"/>
  <c r="P67" i="144"/>
  <c r="P71" i="142"/>
  <c r="P71" i="144"/>
  <c r="P68" i="142"/>
  <c r="P68" i="144"/>
  <c r="P62" i="142"/>
  <c r="P62" i="144"/>
  <c r="P197" i="142"/>
  <c r="P197" i="144"/>
  <c r="P56" i="142"/>
  <c r="P56" i="144"/>
  <c r="P15" i="142"/>
  <c r="P15" i="144"/>
  <c r="E39" i="144"/>
  <c r="P40" i="144"/>
  <c r="P39" i="144" s="1"/>
  <c r="H12" i="125"/>
  <c r="H11" i="125" s="1"/>
  <c r="G15" i="125"/>
  <c r="G17" i="125"/>
  <c r="K17" i="125"/>
  <c r="G112" i="125"/>
  <c r="G111" i="125" s="1"/>
  <c r="G110" i="125" s="1"/>
  <c r="H111" i="125"/>
  <c r="H110" i="125" s="1"/>
  <c r="K110" i="125" s="1"/>
  <c r="H126" i="125"/>
  <c r="H125" i="125" s="1"/>
  <c r="K125" i="125" s="1"/>
  <c r="G28" i="125"/>
  <c r="G27" i="125" s="1"/>
  <c r="H28" i="125"/>
  <c r="H27" i="125" s="1"/>
  <c r="K27" i="125" s="1"/>
  <c r="H94" i="125"/>
  <c r="G94" i="125" s="1"/>
  <c r="K15" i="125"/>
  <c r="P122" i="97"/>
  <c r="E121" i="97"/>
  <c r="G45" i="125"/>
  <c r="P26" i="97"/>
  <c r="Q26" i="97" s="1"/>
  <c r="E25" i="97"/>
  <c r="K45" i="125"/>
  <c r="P14" i="97"/>
  <c r="M10" i="107"/>
  <c r="M14" i="107" s="1"/>
  <c r="Q11" i="107"/>
  <c r="Q10" i="107" s="1"/>
  <c r="Q14" i="107" s="1"/>
  <c r="G135" i="125"/>
  <c r="P17" i="97"/>
  <c r="P85" i="97"/>
  <c r="L45" i="125"/>
  <c r="P45" i="97"/>
  <c r="P113" i="97"/>
  <c r="P117" i="97"/>
  <c r="P21" i="97"/>
  <c r="P129" i="97"/>
  <c r="P130" i="97"/>
  <c r="P115" i="97"/>
  <c r="E13" i="142" l="1"/>
  <c r="P14" i="142"/>
  <c r="P13" i="142" s="1"/>
  <c r="P115" i="142"/>
  <c r="P115" i="144"/>
  <c r="P85" i="142"/>
  <c r="P85" i="144"/>
  <c r="P130" i="142"/>
  <c r="P130" i="144"/>
  <c r="P113" i="142"/>
  <c r="P113" i="144"/>
  <c r="P17" i="142"/>
  <c r="P17" i="144"/>
  <c r="P45" i="142"/>
  <c r="P45" i="144"/>
  <c r="P129" i="142"/>
  <c r="P129" i="144"/>
  <c r="P21" i="142"/>
  <c r="P21" i="144"/>
  <c r="P117" i="142"/>
  <c r="P117" i="144"/>
  <c r="E121" i="142"/>
  <c r="P122" i="142"/>
  <c r="P121" i="142" s="1"/>
  <c r="P13" i="144"/>
  <c r="G126" i="125"/>
  <c r="G125" i="125" s="1"/>
  <c r="Q112" i="97"/>
  <c r="Q14" i="97"/>
  <c r="Q40" i="97"/>
  <c r="Q122" i="97"/>
  <c r="G12" i="125"/>
  <c r="G11" i="125" s="1"/>
  <c r="P111" i="97"/>
  <c r="P88" i="97"/>
  <c r="I14" i="107"/>
  <c r="G14" i="107" s="1"/>
  <c r="P88" i="142" l="1"/>
  <c r="P88" i="144"/>
  <c r="P25" i="97"/>
  <c r="P13" i="97"/>
  <c r="P121" i="97" l="1"/>
  <c r="P193" i="97" l="1"/>
  <c r="P192" i="97" s="1"/>
  <c r="P188" i="97"/>
  <c r="P187" i="97" l="1"/>
  <c r="Q188" i="97"/>
  <c r="Q193" i="97"/>
  <c r="P181" i="97" l="1"/>
  <c r="Q181" i="97" s="1"/>
  <c r="P180" i="97" l="1"/>
  <c r="L196" i="125"/>
  <c r="P174" i="97"/>
  <c r="Q174" i="97" s="1"/>
  <c r="P173" i="97" l="1"/>
  <c r="P169" i="97"/>
  <c r="Q169" i="97" s="1"/>
  <c r="P168" i="97" l="1"/>
  <c r="P159" i="97" l="1"/>
  <c r="G211" i="125" l="1"/>
  <c r="N54" i="97" l="1"/>
  <c r="N198" i="97" s="1"/>
  <c r="N207" i="97" s="1"/>
  <c r="K54" i="97"/>
  <c r="M61" i="125" s="1"/>
  <c r="M54" i="97"/>
  <c r="M53" i="97" s="1"/>
  <c r="O79" i="97"/>
  <c r="L54" i="97"/>
  <c r="L198" i="97" s="1"/>
  <c r="O79" i="142" l="1"/>
  <c r="O54" i="142" s="1"/>
  <c r="O53" i="142" s="1"/>
  <c r="O79" i="144"/>
  <c r="O54" i="144" s="1"/>
  <c r="O198" i="142"/>
  <c r="R54" i="97"/>
  <c r="K53" i="97"/>
  <c r="M198" i="97"/>
  <c r="M207" i="97" s="1"/>
  <c r="L207" i="97"/>
  <c r="K198" i="97"/>
  <c r="N53" i="97"/>
  <c r="O54" i="97"/>
  <c r="J54" i="97" s="1"/>
  <c r="J79" i="97"/>
  <c r="I54" i="97"/>
  <c r="L53" i="97"/>
  <c r="J54" i="142" l="1"/>
  <c r="J79" i="142"/>
  <c r="J79" i="144"/>
  <c r="O53" i="144"/>
  <c r="J54" i="144"/>
  <c r="O198" i="144"/>
  <c r="J53" i="142"/>
  <c r="J198" i="142"/>
  <c r="Q198" i="97"/>
  <c r="K204" i="137"/>
  <c r="K207" i="97"/>
  <c r="R79" i="97"/>
  <c r="I87" i="125" s="1"/>
  <c r="I62" i="125" s="1"/>
  <c r="O198" i="97"/>
  <c r="O207" i="97" s="1"/>
  <c r="O53" i="97"/>
  <c r="H54" i="97"/>
  <c r="H198" i="97" s="1"/>
  <c r="H207" i="97" s="1"/>
  <c r="I53" i="97"/>
  <c r="I198" i="97"/>
  <c r="I207" i="97" s="1"/>
  <c r="J198" i="97"/>
  <c r="J207" i="97" s="1"/>
  <c r="J53" i="97"/>
  <c r="J53" i="144" l="1"/>
  <c r="J198" i="144"/>
  <c r="I61" i="125"/>
  <c r="L61" i="125" s="1"/>
  <c r="I219" i="125"/>
  <c r="H53" i="97"/>
  <c r="G54" i="97"/>
  <c r="G198" i="97" l="1"/>
  <c r="G207" i="97" s="1"/>
  <c r="G53" i="97"/>
  <c r="E79" i="97"/>
  <c r="F54" i="97"/>
  <c r="F53" i="97" s="1"/>
  <c r="F198" i="97" s="1"/>
  <c r="E79" i="142" l="1"/>
  <c r="E54" i="142" s="1"/>
  <c r="E53" i="142" s="1"/>
  <c r="E79" i="144"/>
  <c r="E54" i="144" s="1"/>
  <c r="E198" i="142"/>
  <c r="Q79" i="97"/>
  <c r="H87" i="125" s="1"/>
  <c r="H62" i="125" s="1"/>
  <c r="F207" i="97"/>
  <c r="E54" i="97"/>
  <c r="E53" i="97" s="1"/>
  <c r="P79" i="97"/>
  <c r="P54" i="142" l="1"/>
  <c r="P53" i="142" s="1"/>
  <c r="P198" i="142" s="1"/>
  <c r="E53" i="144"/>
  <c r="P54" i="144"/>
  <c r="P53" i="144" s="1"/>
  <c r="P198" i="144" s="1"/>
  <c r="E198" i="144"/>
  <c r="P79" i="142"/>
  <c r="P79" i="144"/>
  <c r="E198" i="97"/>
  <c r="P54" i="97"/>
  <c r="Q54" i="97" s="1"/>
  <c r="G87" i="125"/>
  <c r="G62" i="125" s="1"/>
  <c r="E208" i="97" l="1"/>
  <c r="F208" i="97"/>
  <c r="P53" i="97"/>
  <c r="P198" i="97" s="1"/>
  <c r="F210" i="97" s="1"/>
  <c r="E207" i="97"/>
  <c r="H61" i="125"/>
  <c r="K61" i="125" s="1"/>
  <c r="H219" i="125"/>
  <c r="G61" i="125"/>
  <c r="G219" i="125"/>
  <c r="P208" i="97" l="1"/>
  <c r="P207" i="97"/>
  <c r="K219" i="125"/>
</calcChain>
</file>

<file path=xl/sharedStrings.xml><?xml version="1.0" encoding="utf-8"?>
<sst xmlns="http://schemas.openxmlformats.org/spreadsheetml/2006/main" count="7190" uniqueCount="1027">
  <si>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</si>
  <si>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</si>
  <si>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Будівництво 2-ї черги водогону від с.Чернелівка Красилівського району до м.Хмельницький</t>
  </si>
  <si>
    <t>Реконструкція з надбудовою приміщень навчально-виховного комплексу №10 по вул. Водопровідній, 9А в м.Хмельницькому</t>
  </si>
  <si>
    <t>1</t>
  </si>
  <si>
    <t>2</t>
  </si>
  <si>
    <t>Проведення навчально-тренувальних зборів і змагань з неолімпійських видів спорту</t>
  </si>
  <si>
    <t>4</t>
  </si>
  <si>
    <t>Надання субсидій населенню для відшкодування витрат на оплату житлово-комунальних послуг</t>
  </si>
  <si>
    <t>Пільгове медичне обслуговування осіб, які постраждали внаслідок Чорнобильської катастрофи</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</si>
  <si>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</si>
  <si>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</si>
  <si>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</si>
  <si>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</si>
  <si>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</si>
  <si>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державної соціальної допомоги малозабезпеченим сім'ям</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</si>
  <si>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</si>
  <si>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</si>
  <si>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</si>
  <si>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Надання субсидій населенню для відшкодування витрат на придбання твердого та рідкого пічного побутового палива і скрапленого газу</t>
  </si>
  <si>
    <t>Програма розвитку міста Хмельницького у сфері культури на період до 2020 року "50 кроків, що змінять місто"</t>
  </si>
  <si>
    <t>Компенсаційні виплати на пільговий проїзд електротранспортом окремим категоріям громадян</t>
  </si>
  <si>
    <t>Здійснення заходів та реалізація проектів на виконання Державної цільової соціальної програми «Молодь України»</t>
  </si>
  <si>
    <t>Утримання клубів для підлітків за місцем проживання</t>
  </si>
  <si>
    <t>Разом</t>
  </si>
  <si>
    <t>Загальний фонд</t>
  </si>
  <si>
    <t>з них</t>
  </si>
  <si>
    <t>3</t>
  </si>
  <si>
    <t>комунальні послуги та енергоносії</t>
  </si>
  <si>
    <t>Код програмної класифікації видатків та кредитування місцевих бюджетів</t>
  </si>
  <si>
    <t>Код ФКВКБ</t>
  </si>
  <si>
    <t>Реконструкція існуючої будівлі краєзнавчого музею під музейний комплекс історії та культури по вул.Свободи,22 в м.Хмельницькому</t>
  </si>
  <si>
    <t>Надання загальної середньої освіти спеціальними загальноосвітніми школами-інтернатами, школами та іншими навчальними закладами для дітей, які потребують корекції фізичного та (або) розумового розвитку</t>
  </si>
  <si>
    <t>Надання позашкільної освіти позашкільними закладами освіти, заходи із позашкільної роботи з дітьми</t>
  </si>
  <si>
    <t>1011100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</si>
  <si>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</si>
  <si>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</si>
  <si>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</si>
  <si>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</si>
  <si>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</si>
  <si>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</si>
  <si>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</si>
  <si>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житлово-комунального господарства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</si>
  <si>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</si>
  <si>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</si>
  <si>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</si>
  <si>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Управління архітектури та містобудування департаменту архітектури, містобудування та земельних ресурсів (головний розпорядник)</t>
  </si>
  <si>
    <t xml:space="preserve">Управління з питань екології та контролю за благоустроєм міста (головний розпорядник) </t>
  </si>
  <si>
    <t>Фінансове управління Хмельницької міської ради (головний розпорядник)</t>
  </si>
  <si>
    <t>1115031</t>
  </si>
  <si>
    <t>1115032</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</si>
  <si>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</si>
  <si>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</si>
  <si>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</si>
  <si>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Забезпечення діяльності централізованої бухгалтерії</t>
  </si>
  <si>
    <t>Проведення інформаційних заходів з організації проведення аукціонів</t>
  </si>
  <si>
    <t>Виготовлення документації із землеустрою</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</si>
  <si>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</si>
  <si>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</si>
  <si>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</si>
  <si>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</si>
  <si>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</si>
  <si>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</si>
  <si>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Управління житлово-комунального господарства Хмельницької міської ради (відповідальний виконавець)</t>
  </si>
  <si>
    <t>Управління архітектури та містобудування департаменту архітектури, містобудування та земельних ресурсів (відповідальний виконавець)</t>
  </si>
  <si>
    <t xml:space="preserve">Управління з питань екології та контролю за благоустроєм міста (відповідальний виконавець) </t>
  </si>
  <si>
    <t>Фінансове управління Хмельницької міської ради (відповідальний виконавець)</t>
  </si>
  <si>
    <t>Заходи з енергозбереження</t>
  </si>
  <si>
    <t>Резервний фонд</t>
  </si>
  <si>
    <t xml:space="preserve"> Реверсна дотація</t>
  </si>
  <si>
    <t>0133</t>
  </si>
  <si>
    <t>0180</t>
  </si>
  <si>
    <t>1113131</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</si>
  <si>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</si>
  <si>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</si>
  <si>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</si>
  <si>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</si>
  <si>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</si>
  <si>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</si>
  <si>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</si>
  <si>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Всього, в т.ч.:</t>
  </si>
  <si>
    <t>0511</t>
  </si>
  <si>
    <t>Охорона та раціональне використання природних ресурсів</t>
  </si>
  <si>
    <t>0540</t>
  </si>
  <si>
    <t>Спеціальний фонд</t>
  </si>
  <si>
    <t>видатки споживання</t>
  </si>
  <si>
    <t>оплата праці</t>
  </si>
  <si>
    <t>видатки розвитку</t>
  </si>
  <si>
    <t>Розподіл</t>
  </si>
  <si>
    <t>Додаток №3</t>
  </si>
  <si>
    <t>Капітальні видатки</t>
  </si>
  <si>
    <t xml:space="preserve">Реконструкція покрівель житлових будинків </t>
  </si>
  <si>
    <t>Додаток 1</t>
  </si>
  <si>
    <t>( грн.)</t>
  </si>
  <si>
    <t>Код</t>
  </si>
  <si>
    <t>Найменування згідно
 з класифікацією доходів бюджету</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</si>
  <si>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</si>
  <si>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</si>
  <si>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</si>
  <si>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</si>
  <si>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</si>
  <si>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</si>
  <si>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</si>
  <si>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</si>
  <si>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</si>
  <si>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 xml:space="preserve">Акцизний податок з реалізації суб"єктами господарювання роздрібної торгівлі підакцизних товарів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</si>
  <si>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</si>
  <si>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</si>
  <si>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</si>
  <si>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</si>
  <si>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</si>
  <si>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</si>
  <si>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</si>
  <si>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</si>
  <si>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</si>
  <si>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</si>
  <si>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</si>
  <si>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</si>
  <si>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</si>
  <si>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</si>
  <si>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</si>
  <si>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</si>
  <si>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 xml:space="preserve">Єдиний податок  з юридичних осіб
</t>
  </si>
  <si>
    <t>Єдиний податок  з фізичних осіб</t>
  </si>
  <si>
    <t xml:space="preserve">Екологічний податок </t>
  </si>
  <si>
    <t xml:space="preserve">Надходження  від викидів забруднюючих речовин в атмосферне повітря стаціонарними джерелами забруднення </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</si>
  <si>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</si>
  <si>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</si>
  <si>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Неподаткові надходження</t>
  </si>
  <si>
    <t>Частина чистого прибутку (доходу)  комунальних унітарних підприємств та їх об"єднань, що вилучається до відповідного місцевого бюджету</t>
  </si>
  <si>
    <t xml:space="preserve">Плата за розміщення тимчасово вільних коштів </t>
  </si>
  <si>
    <t xml:space="preserve">Надходження від штрафів та фінансових санкцій </t>
  </si>
  <si>
    <t>Адміністративні штрафи та інші санкції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</si>
  <si>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</si>
  <si>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</si>
  <si>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</si>
  <si>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</si>
  <si>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</si>
  <si>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</si>
  <si>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</si>
  <si>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не віднесене до інших категорій </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</si>
  <si>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</si>
  <si>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</si>
  <si>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</si>
  <si>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</si>
  <si>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</si>
  <si>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</si>
  <si>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</si>
  <si>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</si>
  <si>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</si>
  <si>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</si>
  <si>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r>
      <t>Інші джерела власних надходжень бюджетних установ</t>
    </r>
    <r>
      <rPr>
        <sz val="12"/>
        <rFont val="Times New Roman"/>
        <family val="1"/>
        <charset val="204"/>
      </rPr>
      <t xml:space="preserve">  </t>
    </r>
  </si>
  <si>
    <t xml:space="preserve">Благодійні внески, гранти та дарунки </t>
  </si>
  <si>
    <t xml:space="preserve">Кошти,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</si>
  <si>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</si>
  <si>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</si>
  <si>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</si>
  <si>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</si>
  <si>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</si>
  <si>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</si>
  <si>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</si>
  <si>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</si>
  <si>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</si>
  <si>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</si>
  <si>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 xml:space="preserve">Медична субвенція з державного бюджету місцевим бюджетам </t>
  </si>
  <si>
    <t xml:space="preserve"> - на пільгове медичне обслуговування громадян, які постраждали внаслідок Чорнобильської катастрофи</t>
  </si>
  <si>
    <t xml:space="preserve"> -  на компенсаційні виплати інвалідам на бензин, ремонт, техобслуговування автотранспорту та транспортне обслуговування</t>
  </si>
  <si>
    <t xml:space="preserve"> - на компенсаційні виплати на встановлення телефонів інвалідам 1-ї та 2-ї груп </t>
  </si>
  <si>
    <t xml:space="preserve">  - на поховання учасників бойових дій та інвалідів війни</t>
  </si>
  <si>
    <t>Всього доходів</t>
  </si>
  <si>
    <t>Додаток 2</t>
  </si>
  <si>
    <t>до рішення</t>
  </si>
  <si>
    <t>200000</t>
  </si>
  <si>
    <t>Внутрішнє фінансування</t>
  </si>
  <si>
    <t>208100</t>
  </si>
  <si>
    <t>На початок періоду</t>
  </si>
  <si>
    <t>На кінець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</si>
  <si>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</si>
  <si>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</si>
  <si>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</si>
  <si>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</si>
  <si>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</si>
  <si>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Зміни обсягів готівкових коштів на початок періоду</t>
  </si>
  <si>
    <t>Зміни обсягів готівкових коштів на кінець періоду</t>
  </si>
  <si>
    <t>Надання кредитів</t>
  </si>
  <si>
    <t>Повернення кредитів</t>
  </si>
  <si>
    <t>0,0</t>
  </si>
  <si>
    <t>Додаток №6</t>
  </si>
  <si>
    <t>Кошторис доходів та видатків цільового фонду</t>
  </si>
  <si>
    <t>Хмельницької міської ради</t>
  </si>
  <si>
    <t xml:space="preserve">Пункти Положення </t>
  </si>
  <si>
    <t>Джерела доходів</t>
  </si>
  <si>
    <t>2.1.1.</t>
  </si>
  <si>
    <t>Кошти за надлишки загальної житлової площі при приватизації державного житлового фонду</t>
  </si>
  <si>
    <t>2.1.2.</t>
  </si>
  <si>
    <t>Кошти за тимчасове користування місцями для розміщення зовнішньої реклами</t>
  </si>
  <si>
    <t>2.1.3.</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</si>
  <si>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об"єктів містобудування</t>
  </si>
  <si>
    <t>2.1.4.</t>
  </si>
  <si>
    <t xml:space="preserve">Надходження коштів, що мають вноситися заявниками, у розмірі 10 відсотків початкової вартості продажу об"єкта малої приватизації, за участь у аукціоні, конкурсі </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</si>
  <si>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</si>
  <si>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</si>
  <si>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</si>
  <si>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Разом:</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</si>
  <si>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</si>
  <si>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</si>
  <si>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</si>
  <si>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</si>
  <si>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</si>
  <si>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3.2.4.</t>
  </si>
  <si>
    <t>3.2.5.</t>
  </si>
  <si>
    <t>3.2.6.</t>
  </si>
  <si>
    <t>Виплата винагороди головам квартальних комітетів</t>
  </si>
  <si>
    <t>3.2.7.</t>
  </si>
  <si>
    <t>Оплата подарунків до ювілеїв, річниць, пам’ятних дат, професійних свят підприємств, організацій, установ та фізичних осіб</t>
  </si>
  <si>
    <t>3.2.8.</t>
  </si>
  <si>
    <t xml:space="preserve">Спрямування коштів на житлове будівництво, реконструкцію та на ремонт житла всіх форм власності, в т.ч. будинків житлово-будівельних кооперативів (ТОВ "ЖЕО"), об'є́днань співвла́сників багатокварти́рних буди́нків, Будинкоуправління №2  КЕВ м. Хмельницький та будівель і споруд  комунальної власності </t>
  </si>
  <si>
    <t>3.2.11.</t>
  </si>
  <si>
    <t>Здійснення заходів з приватизації, відчуження та передачі в оренду майна комунальної власності</t>
  </si>
  <si>
    <t>3.2.12.</t>
  </si>
  <si>
    <t>Повернення коштів, внесених заявниками за участь у аукціоні, конкурсі з продажу об'єктів малої приватизації у випадках, передбачених Законом України "Про приватизацію невеликих державних підприємств (малу приватизацію)"</t>
  </si>
  <si>
    <t>3.2.16.</t>
  </si>
  <si>
    <t>Інші видатки, що здійснюються згідно розпоряджень міського голови, рішень міської ради та її виконавчого комітету.</t>
  </si>
  <si>
    <t>Пальне (вироблене в Україні)</t>
  </si>
  <si>
    <t>Пальне  (ввезене на митну територію  України)</t>
  </si>
  <si>
    <t>Начальник фінансового управління                                                                                                                                                            С. Ямчук</t>
  </si>
  <si>
    <t xml:space="preserve">Будівництво центру поводження з тваринами  КП “Надія” по вул. Заводській, 165 в м. Хмельницькому </t>
  </si>
  <si>
    <t>Адміністративний збір з проведення державної реєстрації юридичних осіб, фізичних осіб - підприємців та громадських формувань</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</si>
  <si>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</si>
  <si>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</si>
  <si>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</si>
  <si>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</si>
  <si>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</si>
  <si>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</si>
  <si>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</si>
  <si>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</si>
  <si>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</si>
  <si>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</si>
  <si>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</si>
  <si>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</si>
  <si>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</si>
  <si>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</si>
  <si>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</si>
  <si>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</si>
  <si>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</si>
  <si>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</si>
  <si>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</si>
  <si>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</si>
  <si>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</si>
  <si>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</si>
  <si>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</si>
  <si>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1014010</t>
  </si>
  <si>
    <t>4010</t>
  </si>
  <si>
    <t>4060</t>
  </si>
  <si>
    <t>3131</t>
  </si>
  <si>
    <t>0821</t>
  </si>
  <si>
    <t>Фінансова підтримка театрів</t>
  </si>
  <si>
    <t>1014030</t>
  </si>
  <si>
    <t>4030</t>
  </si>
  <si>
    <t>0824</t>
  </si>
  <si>
    <t>Забезпечення діяльності бібліотек</t>
  </si>
  <si>
    <t>1014040</t>
  </si>
  <si>
    <t>4040</t>
  </si>
  <si>
    <t xml:space="preserve"> Забезпечення діяльності музеїв i виставок</t>
  </si>
  <si>
    <t>1014060</t>
  </si>
  <si>
    <t>0828</t>
  </si>
  <si>
    <t>Забезпечення діяльності палаців i будинків культури, клубів, центрів дозвілля та iнших клубних закладів</t>
  </si>
  <si>
    <t>Надання спеціальної освіти школами естетичного виховання (музичними, художніми, хореографічними, театральними, хоровими, мистецькими)</t>
  </si>
  <si>
    <t>1100</t>
  </si>
  <si>
    <t>0960</t>
  </si>
  <si>
    <t>0829</t>
  </si>
  <si>
    <t>1113121</t>
  </si>
  <si>
    <t>3121</t>
  </si>
  <si>
    <t>1040</t>
  </si>
  <si>
    <t>Утримання та забезпечення діяльності центрів соціальних служб для сім’ї, дітей та молоді</t>
  </si>
  <si>
    <t>5011</t>
  </si>
  <si>
    <t>5012</t>
  </si>
  <si>
    <t>5022</t>
  </si>
  <si>
    <t>1113132</t>
  </si>
  <si>
    <t>3132</t>
  </si>
  <si>
    <t>3230</t>
  </si>
  <si>
    <t>1090</t>
  </si>
  <si>
    <t>5031</t>
  </si>
  <si>
    <t>5032</t>
  </si>
  <si>
    <t>5061</t>
  </si>
  <si>
    <t>0810</t>
  </si>
  <si>
    <t>5063</t>
  </si>
  <si>
    <t>7670</t>
  </si>
  <si>
    <t>0611010</t>
  </si>
  <si>
    <t>1010</t>
  </si>
  <si>
    <t>1020</t>
  </si>
  <si>
    <t>0910</t>
  </si>
  <si>
    <t>Надання дошкільної освіти</t>
  </si>
  <si>
    <t>Надання загальної середньої освіти загальноосвітніми навчальними закладами ( в т. ч. школою-дитячим садком, інтернатом при школі), спеціалізованими школами, ліцеями, гімназіями, колегіумами</t>
  </si>
  <si>
    <t>0611020</t>
  </si>
  <si>
    <t>0921</t>
  </si>
  <si>
    <t>1030</t>
  </si>
  <si>
    <t>1070</t>
  </si>
  <si>
    <t>0611070</t>
  </si>
  <si>
    <t>0922</t>
  </si>
  <si>
    <t>0611090</t>
  </si>
  <si>
    <t>0611110</t>
  </si>
  <si>
    <t>1110</t>
  </si>
  <si>
    <t>0930</t>
  </si>
  <si>
    <t>Підготовка кадрів професійно-технічними закладами та іншими закладами освіти</t>
  </si>
  <si>
    <t>Методичне забезпечення діяльності навчальних закладів</t>
  </si>
  <si>
    <t>0611150</t>
  </si>
  <si>
    <t>1150</t>
  </si>
  <si>
    <t>0990</t>
  </si>
  <si>
    <t>2010</t>
  </si>
  <si>
    <t>0617640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</si>
  <si>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</si>
  <si>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</si>
  <si>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</si>
  <si>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</si>
  <si>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</si>
  <si>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</si>
  <si>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</si>
  <si>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</si>
  <si>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</si>
  <si>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</si>
  <si>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</si>
  <si>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</si>
  <si>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</si>
  <si>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</si>
  <si>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</si>
  <si>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</si>
  <si>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</si>
  <si>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</si>
  <si>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</si>
  <si>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</si>
  <si>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</si>
  <si>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</si>
  <si>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</si>
  <si>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</si>
  <si>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</si>
  <si>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</si>
  <si>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</si>
  <si>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</si>
  <si>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</si>
  <si>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</si>
  <si>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</si>
  <si>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</si>
  <si>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Фінансова підтримка засобів масової інформації</t>
  </si>
  <si>
    <t>0219710</t>
  </si>
  <si>
    <t>9710</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</si>
  <si>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</si>
  <si>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0210180</t>
  </si>
  <si>
    <t>Інша діяльність у сфері державного управління</t>
  </si>
  <si>
    <t>Надання пільг на оплату житлово-комунальних послуг окремим категоріям громадян відповідно до законодавства</t>
  </si>
  <si>
    <t>0813011</t>
  </si>
  <si>
    <t>3011</t>
  </si>
  <si>
    <t>3041</t>
  </si>
  <si>
    <t>3042</t>
  </si>
  <si>
    <t>3043</t>
  </si>
  <si>
    <t>3044</t>
  </si>
  <si>
    <t>3045</t>
  </si>
  <si>
    <t>3046</t>
  </si>
  <si>
    <t>3047</t>
  </si>
  <si>
    <t>Надання допомоги при усиновленні дитини</t>
  </si>
  <si>
    <t>0813041</t>
  </si>
  <si>
    <t>0813042</t>
  </si>
  <si>
    <t>0813043</t>
  </si>
  <si>
    <t>0813044</t>
  </si>
  <si>
    <t>0813045</t>
  </si>
  <si>
    <t>0813046</t>
  </si>
  <si>
    <t>0813047</t>
  </si>
  <si>
    <t>3050</t>
  </si>
  <si>
    <t>3090</t>
  </si>
  <si>
    <t>0813012</t>
  </si>
  <si>
    <t>3012</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</si>
  <si>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</si>
  <si>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0813021</t>
  </si>
  <si>
    <t>3021</t>
  </si>
  <si>
    <t>0813022</t>
  </si>
  <si>
    <t>3022</t>
  </si>
  <si>
    <t>0813050</t>
  </si>
  <si>
    <t>0813090</t>
  </si>
  <si>
    <t>Заходи з організації рятування на водах</t>
  </si>
  <si>
    <t>1218120</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</si>
  <si>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</si>
  <si>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</si>
  <si>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</si>
  <si>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</si>
  <si>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</si>
  <si>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</si>
  <si>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</si>
  <si>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</si>
  <si>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</si>
  <si>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</si>
  <si>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</si>
  <si>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</si>
  <si>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</si>
  <si>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0813230</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</si>
  <si>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</si>
  <si>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</si>
  <si>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</si>
  <si>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</si>
  <si>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</si>
  <si>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</si>
  <si>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</si>
  <si>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</si>
  <si>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</si>
  <si>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</si>
  <si>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</si>
  <si>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</si>
  <si>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</si>
  <si>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</si>
  <si>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</si>
  <si>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</si>
  <si>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</si>
  <si>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</si>
  <si>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</si>
  <si>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</si>
  <si>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</si>
  <si>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</si>
  <si>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</si>
  <si>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 xml:space="preserve">Інша діяльність, пов’язана з експлуатацією об’єктів житлово-комунального господарства </t>
  </si>
  <si>
    <t>1216013</t>
  </si>
  <si>
    <t>6013</t>
  </si>
  <si>
    <t>Забезпечення діяльності водопровідно-каналізаційного господарства</t>
  </si>
  <si>
    <t>1216030</t>
  </si>
  <si>
    <t>6030</t>
  </si>
  <si>
    <t>Організація благоустрою населених пунктів</t>
  </si>
  <si>
    <t>1217426</t>
  </si>
  <si>
    <t>7426</t>
  </si>
  <si>
    <t>Інші заходи у сфері електротранспорту</t>
  </si>
  <si>
    <t>0453</t>
  </si>
  <si>
    <t>1217461</t>
  </si>
  <si>
    <t>7461</t>
  </si>
  <si>
    <t>Утримання та розвиток автомобільних доріг та дорожньої інфраструктури за рахунок коштів місцевого бюджету</t>
  </si>
  <si>
    <t>0456</t>
  </si>
  <si>
    <t>1217640</t>
  </si>
  <si>
    <t>1218110</t>
  </si>
  <si>
    <t>8110</t>
  </si>
  <si>
    <t>1216020</t>
  </si>
  <si>
    <t>6020</t>
  </si>
  <si>
    <t>Забезпечення функціонування підприємств, установ та організацій, що виробляють, виконують та/або надають житлово-комунальні послуги</t>
  </si>
  <si>
    <t>Членські внески до асоціацій органів місцевого самоврядування</t>
  </si>
  <si>
    <t>0217680</t>
  </si>
  <si>
    <t>7680</t>
  </si>
  <si>
    <t>1216015</t>
  </si>
  <si>
    <t>6015</t>
  </si>
  <si>
    <t>Забезпечення надійної та безперебійної експлуатації ліфтів</t>
  </si>
  <si>
    <t>0443</t>
  </si>
  <si>
    <t>1217310</t>
  </si>
  <si>
    <t>7310</t>
  </si>
  <si>
    <r>
      <t>Будівництвоˈ об'єктів житлово-комунального господарства</t>
    </r>
    <r>
      <rPr>
        <sz val="36"/>
        <rFont val="Calibri"/>
        <family val="2"/>
        <charset val="204"/>
      </rPr>
      <t>ˈ</t>
    </r>
  </si>
  <si>
    <r>
      <t xml:space="preserve">1 </t>
    </r>
    <r>
      <rPr>
        <sz val="20"/>
        <rFont val="Times New Roman"/>
        <family val="1"/>
        <charset val="204"/>
      </rPr>
      <t>Будівни́цтво — спорудження нового об'єкта, реконструкція, розширення, добудова, реставрація об'єктів, виконання монтажних робіт за рахунок власних коштів місцевих бюджетів.</t>
    </r>
  </si>
  <si>
    <t>1217670</t>
  </si>
  <si>
    <t>Здійснення  заходів із землеустрою</t>
  </si>
  <si>
    <t>3617130</t>
  </si>
  <si>
    <t>7130</t>
  </si>
  <si>
    <t>0421</t>
  </si>
  <si>
    <t>1617350</t>
  </si>
  <si>
    <t>7350</t>
  </si>
  <si>
    <t>Розроблення схем планування та забудови територій (містобудівної документації)</t>
  </si>
  <si>
    <t>2818311</t>
  </si>
  <si>
    <t>8311</t>
  </si>
  <si>
    <t>2818330</t>
  </si>
  <si>
    <t>8330</t>
  </si>
  <si>
    <t xml:space="preserve">Інша діяльність у сфері екології та охорони природних ресурсів </t>
  </si>
  <si>
    <t>Будівництвоˈ  освітніх установ та закладів</t>
  </si>
  <si>
    <t>1517321</t>
  </si>
  <si>
    <t>7321</t>
  </si>
  <si>
    <t>1517325</t>
  </si>
  <si>
    <t>7325</t>
  </si>
  <si>
    <t>Будівництвоˈ споруд, установ та закладів фізичної культури і спорту</t>
  </si>
  <si>
    <t>1517330</t>
  </si>
  <si>
    <t>7330</t>
  </si>
  <si>
    <t>Додаток  № 7</t>
  </si>
  <si>
    <t>Перелік природоохоронних заходів,</t>
  </si>
  <si>
    <t>які будуть фінансуватися з міського фонду охорони</t>
  </si>
  <si>
    <t>№ п/п</t>
  </si>
  <si>
    <t>Код КПКВ</t>
  </si>
  <si>
    <t>Заходи, на які виділяються кошти</t>
  </si>
  <si>
    <t>ВСЬОГО</t>
  </si>
  <si>
    <t>Будівництвоˈ об'єктів житлово-комунального господарства</t>
  </si>
  <si>
    <t>Реконструкція прв. Перемоги з улаштуванням виїзду на вул.Свободи</t>
  </si>
  <si>
    <t xml:space="preserve">Будівництво внутрішньоквартального проїзду від вул.Залізняка до будинку 16/2 по вул.Лісогринівецькій </t>
  </si>
  <si>
    <t>Розробка проектно-кошторисної документації на реконструкцію парку культури та відпочинку ім. М.Чекмана</t>
  </si>
  <si>
    <t>Виготовлення актів добору земельної ділянки, яка або право на яку виставляються на земельні торги</t>
  </si>
  <si>
    <t>Проведення експертної грошової оцінки земельної ділянки несільськогосподарського призначення</t>
  </si>
  <si>
    <r>
      <t xml:space="preserve">1 </t>
    </r>
    <r>
      <rPr>
        <sz val="10"/>
        <rFont val="Times New Roman"/>
        <family val="1"/>
        <charset val="204"/>
      </rPr>
      <t>Будівни́цтво — спорудження нового об'єкта, реконструкція, розширення, добудова, реставрація об'єктів, виконання монтажних робіт за рахунок власних коштів місцевих бюджетів.</t>
    </r>
  </si>
  <si>
    <t>0217670</t>
  </si>
  <si>
    <t>%</t>
  </si>
  <si>
    <t>Субвенція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</si>
  <si>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 xml:space="preserve">Субвенція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</si>
  <si>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t>
  </si>
  <si>
    <t>Субвенція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за рахунок відповідної субвенції з державного бюджету</t>
  </si>
  <si>
    <t>Забезпечення діяльності інших закладів у сфері освіти</t>
  </si>
  <si>
    <t>0611161</t>
  </si>
  <si>
    <t>1161</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</si>
  <si>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</si>
  <si>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</si>
  <si>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</si>
  <si>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</si>
  <si>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</si>
  <si>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</si>
  <si>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Надання допомоги по догляду за особами з інвалідністю I чи II групи внаслідок психічного розладу</t>
  </si>
  <si>
    <t>Видатки на поховання учасників бойових дій та осіб з інвалідністю внаслідок війни</t>
  </si>
  <si>
    <t xml:space="preserve">Надання реабілітаційних послуг особам з інвалідністю та дітям з інвалідністю </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</si>
  <si>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</si>
  <si>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0813171</t>
  </si>
  <si>
    <t>3171</t>
  </si>
  <si>
    <t>0813172</t>
  </si>
  <si>
    <t>3172</t>
  </si>
  <si>
    <t>0813192</t>
  </si>
  <si>
    <t>3192</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</si>
  <si>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t>
  </si>
  <si>
    <t>0813241</t>
  </si>
  <si>
    <t>0813242</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</si>
  <si>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</si>
  <si>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</si>
  <si>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</si>
  <si>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</si>
  <si>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 xml:space="preserve">Забезпечення діяльності інших закладів в галузі культури і мистецтва </t>
  </si>
  <si>
    <t>1014081</t>
  </si>
  <si>
    <t>4081</t>
  </si>
  <si>
    <t>1014082</t>
  </si>
  <si>
    <t>4082</t>
  </si>
  <si>
    <t>Інші заходи в галузі культури і мистецтва</t>
  </si>
  <si>
    <t>Інші програми та заходи у сфері освіти</t>
  </si>
  <si>
    <t>0611162</t>
  </si>
  <si>
    <t>1162</t>
  </si>
  <si>
    <t>7691</t>
  </si>
  <si>
    <t>0217691</t>
  </si>
  <si>
    <t>Заходи із запобігання та ліквідації надзвичайних ситуацій та наслідків стихійного лиха</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</si>
  <si>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</si>
  <si>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</si>
  <si>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</si>
  <si>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</si>
  <si>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</si>
  <si>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Інші субвенції з місцевого  бюджету, в тому числі: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</si>
  <si>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</si>
  <si>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Дотації з місцевих бюджетів іншим місцевим бюджетам </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</si>
  <si>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фонди, утворені Верховною Радою Автономної Республіки Крим, органами</t>
  </si>
  <si>
    <t xml:space="preserve">  місцевого самоврядування і місцевими органами виконавчої влади</t>
  </si>
  <si>
    <t>Амбулаторно-поліклінічна допомога населенню, крім первинної медичної допомоги</t>
  </si>
  <si>
    <t>0726</t>
  </si>
  <si>
    <t>0813083</t>
  </si>
  <si>
    <t>3083</t>
  </si>
  <si>
    <t>Надання державної соціальної допомоги особам з інвалідністю з дитинства та дітям з інвалідністю</t>
  </si>
  <si>
    <t>0813081</t>
  </si>
  <si>
    <t>3081</t>
  </si>
  <si>
    <t>0813085</t>
  </si>
  <si>
    <t>3085</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</si>
  <si>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</si>
  <si>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</si>
  <si>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</si>
  <si>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</si>
  <si>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</si>
  <si>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Встановлення телефонів особам з інвалідністю I і II груп</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</si>
  <si>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</si>
  <si>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3180</t>
  </si>
  <si>
    <t>0813180</t>
  </si>
  <si>
    <t>Надання фінансової підтримки громадським організаціям ветеранів і осіб з інвалідністю, діяльність яких має соціальну спрямованість</t>
  </si>
  <si>
    <t>Проведення навчально-тренувальних зборів і змагань та заходів зі спорту осіб з інвалідністю</t>
  </si>
  <si>
    <t>2717370</t>
  </si>
  <si>
    <t>7370</t>
  </si>
  <si>
    <t>1113133</t>
  </si>
  <si>
    <t>3133</t>
  </si>
  <si>
    <t>Інші заходи та заклади молодіжної політики</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</si>
  <si>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</si>
  <si>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</si>
  <si>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Управління земельних ресурсів та земельної реформи департаменту архітектури, містобудування та земельних ресурсів (головний розпорядник)</t>
  </si>
  <si>
    <t>Управління земельних ресурсів та земельної реформи департаменту архітектури, містобудування та земельних ресурсів (відповідальний розпорядник)</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</si>
  <si>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</si>
  <si>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</si>
  <si>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</si>
  <si>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</si>
  <si>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</si>
  <si>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Середньострокові зобов"язання </t>
  </si>
  <si>
    <t xml:space="preserve">Погашення </t>
  </si>
  <si>
    <t>Зовнішні зобов"язання</t>
  </si>
  <si>
    <t>0170</t>
  </si>
  <si>
    <t>Обслуговування місцевого боргу</t>
  </si>
  <si>
    <t>0712144</t>
  </si>
  <si>
    <t>2144</t>
  </si>
  <si>
    <t>Централізовані заходи з лікування хворих на цукровий та
нецукровий діабет</t>
  </si>
  <si>
    <t>Відшкодування вартості лікарських засобів для лікування
окремих захворювань</t>
  </si>
  <si>
    <t>2146</t>
  </si>
  <si>
    <t>0712146</t>
  </si>
  <si>
    <t>1118841</t>
  </si>
  <si>
    <t>1118842</t>
  </si>
  <si>
    <t>8841</t>
  </si>
  <si>
    <t>8842</t>
  </si>
  <si>
    <t>9770</t>
  </si>
  <si>
    <t>Інші субвенції з місцевого бюджету</t>
  </si>
  <si>
    <t xml:space="preserve">Виготовлення проектно-кошторисної документації на будівництво багаторівневого паркінгу з вбудованими громадськими приміщеннями на вул. Проскурівського підпілля, 34 в м.Хмельницькому </t>
  </si>
  <si>
    <t>Програма підтримки книговидання місцевих авторів та популяризації української книги у м.Хмельницькому на 2018-2020 роки "Читай українською"</t>
  </si>
  <si>
    <t>6082</t>
  </si>
  <si>
    <t>Придбання житла для окремих категорій населення відповідно до законодавства</t>
  </si>
  <si>
    <t>0816082</t>
  </si>
  <si>
    <t>Створення цифрових інженерно-топографічних планів масштабу 1:2000 з цифровою точністю 1:500 та створення 3D будівель міста</t>
  </si>
  <si>
    <t>3617650</t>
  </si>
  <si>
    <t>7650</t>
  </si>
  <si>
    <t>Проведення експертної грошової оцінки земельної ділянки чи права на неї</t>
  </si>
  <si>
    <t>Проведення аерофототопографічної зйомки території міста Хмельницького</t>
  </si>
  <si>
    <t>Заходи з озеленення міста</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</si>
  <si>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</si>
  <si>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</si>
  <si>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</si>
  <si>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Будівництво дошкільного навчального закладу на 120 місць по провулку Шостаковича, 28-А в м. Хмельницькому</t>
  </si>
  <si>
    <t>Реконструкція приміщень НВО №1 по вул. Старокостянтинівське шосе, 3Б в м. Хмельницькому (в тому числі коригування проектно-кошторисної документації)</t>
  </si>
  <si>
    <t>Будівництво магістральної дороги на вул. Січових стрільців в м. Хмельницькому</t>
  </si>
  <si>
    <t>Реконструкція  вбудовано-прибудованої аптеки під адміністративне приміщення управління адміністративних послуг Хмельницької міської ради  по вул. Кам"янецькій, 38 в м. Хмельницькому</t>
  </si>
  <si>
    <t>Внески до статутного капіталу ХКП "Спецкомунтранс" (придбання контейнерів)</t>
  </si>
  <si>
    <t>Будівництво свердловини для господарсько-питного водопостачання ПНЗ ДЮОК "Чайка"</t>
  </si>
  <si>
    <t>Будівництво навчально-виховного комплексу на вул. Залізняка, 32 в м.Хмельницькому</t>
  </si>
  <si>
    <t>Будівництво самопливного і напірного колекторів та каналізаційної насосної станції продуктивністю 1500 куб.м/добу на житловому масиві "Лезнево 1,2" в м.Хмельницькому</t>
  </si>
  <si>
    <t>Виготовлення проектно-кошторисної документації  на будівництво переходу через залізницю в продовження Старокостянтинівського шосе в м.Хмельницькому</t>
  </si>
  <si>
    <t>Надання загальної середньої освіти загальноосвітніми навчальними закладами (в т. ч. школою-дитячим садком, інтернатом при школі), спеціалізованими школами, ліцеями, гімназіями, колегіумами</t>
  </si>
  <si>
    <t>Виготовлення проектно-кошторисної документації на будівництво  вулиці від вулиці Степана Бандери до вулиці Західно-Окружної в м. Хмельницькому</t>
  </si>
  <si>
    <t>Виготовлення проектно-кошторисної документації на будівництво вулиці  Лісогринівецької (від вул. С.Бандери до Старокостянтинівського шосе) в м. Хмельницькому</t>
  </si>
  <si>
    <t>Організація та проведення громадських робіт</t>
  </si>
  <si>
    <t>3210</t>
  </si>
  <si>
    <t>1050</t>
  </si>
  <si>
    <t>Управління капітального будівництва Департаменту архітектури, містобудування та земельних ресурсів Хмельницької міської ради (відповідальний виконавець)</t>
  </si>
  <si>
    <t>Управління капітального будівництва Департаменту архітектури, містобудування та земельних ресурсів Хмельницької міської ради (головний розпорядник)</t>
  </si>
  <si>
    <t xml:space="preserve">Реконструкція з добудовою їдальні до існуючого приміщення спеціалізованої загальноосвітньої школи І-ІІІ ступенів №8 по вул. Я.Гальчевського, 34 в м.Хмельницькому </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</si>
  <si>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</si>
  <si>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</si>
  <si>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1119770</t>
  </si>
  <si>
    <t>1216012</t>
  </si>
  <si>
    <t>6012</t>
  </si>
  <si>
    <t>Забезпечення діяльності з виробництва, транспортування, постачання теплової енергії</t>
  </si>
  <si>
    <t>Доходи  бюджету м. Хмельницького на 2019 рік</t>
  </si>
  <si>
    <t>на 2019 рік</t>
  </si>
  <si>
    <t>Залишок коштів на 01.01.2019 року</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</si>
  <si>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</si>
  <si>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</si>
  <si>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</si>
  <si>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</si>
  <si>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</si>
  <si>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</si>
  <si>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</si>
  <si>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</si>
  <si>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 xml:space="preserve">Фінансування бюджету міста Хмельницького на 2019 рік </t>
  </si>
  <si>
    <t>видатків бюджету міста Хмельницького на 2019 рік</t>
  </si>
  <si>
    <t>(грн.)</t>
  </si>
  <si>
    <t>Код Типової програмної класифікації видатків та кредитування місцевих бюджетів</t>
  </si>
  <si>
    <t>Найменування головного розпорядника коштів бюджету міста Хмельницького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</si>
  <si>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Кредитування бюджету міста Хмельницького у 2019 році</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</si>
  <si>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</si>
  <si>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</si>
  <si>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</si>
  <si>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</si>
  <si>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</si>
  <si>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</si>
  <si>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Розподіл коштів бюджету розвитку за об'єктами у 2019 році</t>
  </si>
  <si>
    <t>5</t>
  </si>
  <si>
    <t>6</t>
  </si>
  <si>
    <t>7</t>
  </si>
  <si>
    <t>8</t>
  </si>
  <si>
    <t>9</t>
  </si>
  <si>
    <t>10</t>
  </si>
  <si>
    <t>11</t>
  </si>
  <si>
    <t>12</t>
  </si>
  <si>
    <t>13</t>
  </si>
  <si>
    <t>14</t>
  </si>
  <si>
    <t>15</t>
  </si>
  <si>
    <t>16</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</si>
  <si>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</si>
  <si>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</si>
  <si>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 гривень</t>
  </si>
  <si>
    <t>Обсяг видатків бюджету розвитку, гривень</t>
  </si>
  <si>
    <t>Рівень будівельної готовності об'єкта на кінець бюджетного періоду, %</t>
  </si>
  <si>
    <t>навколишнього природного середовища у 2019 році</t>
  </si>
  <si>
    <t>Розподіл витрат бюджету міста Хмельницького на реалізацію місцевих/регіональних програм у 2019 році</t>
  </si>
  <si>
    <t>(грн)</t>
  </si>
  <si>
    <t>Сума, грн</t>
  </si>
  <si>
    <t>Найменування місцевої/регіональної програми</t>
  </si>
  <si>
    <t>Додаток №8</t>
  </si>
  <si>
    <t>Дата та номер документа, яким затверджено місцеву/регіональну програму</t>
  </si>
  <si>
    <t>Виготовлення проектно-кошторисної документації на будівництво міжквартального проїзду між вулицями Зарічанською та Прибузькою (повз стадіону Політехнічного коледжу) у м.Хмельницькому</t>
  </si>
  <si>
    <t>Наукові дослідження, проектні та проектно-конструкторські розроблення (виготовлення проекту на установлення обладнання для очищення газопилового потоку від забруднюючих речовин, що викидається в атмосферне повітря)</t>
  </si>
  <si>
    <t>Заходи щодо відновлення і підтримання сприятливого гідрологічного режиму та санітарного стану водойм міста - капітальний ремонт гідроспоруди на річці Південний Буг в районі вул.Трудової з розробкою проектно-кошторисної документації</t>
  </si>
  <si>
    <t>Придбання систем, приладів для здійснення контролю за якістю поверхневих та підземних вод на території міста (придбання муфельної печі ФНОЛ7.2/1100 для лабораторних досліджень питної води)</t>
  </si>
  <si>
    <t>Проведення науково-технічних конференцій і семінарів, організація виставок, фестивалів та інших заходів щодо пропаганди охорони навколишнього природного середовища, видання поліграфічної продукції з екологічної тематики тощо</t>
  </si>
  <si>
    <t>Розроблення проекту землеустрою щодо встановлення меж міста Хмельницького</t>
  </si>
  <si>
    <t>2017 - 2020 роки</t>
  </si>
  <si>
    <t>Рішення 6-ї сесії Хмельницької міської ради від 18.05.2016 року №16</t>
  </si>
  <si>
    <t xml:space="preserve">Програма
підтримки обдарованих дітей м.Хмельницького 
</t>
  </si>
  <si>
    <t>Рішення 19-ї сесії Хмельницької міської ради від 21.02.2001 року №6</t>
  </si>
  <si>
    <t>Будівництво пандусу на території стадіону Рекреаційного центру "Берег надії" за адресою вул. Підлісна 4/1, с. Головчинці Летичівського району Хмельницької області (в т.ч. виготовлення ПКД)</t>
  </si>
  <si>
    <t>0817323</t>
  </si>
  <si>
    <t>7323</t>
  </si>
  <si>
    <t>Будівництвоˈ установ та закладів соціальної сфери</t>
  </si>
  <si>
    <t>Будівництво приміщення відділення тимчасового цілодобового перебування Хмельницького міського територіального центру соціального обслуговування (надання соціальних послуг) по вул. Перемоги, 7-А в м.Хмельницькому</t>
  </si>
  <si>
    <t>Рішення 11-ї сесії Хмельницької міської ради від 25.01.2017 року №20</t>
  </si>
  <si>
    <t>Рішення 20-ї сесії Хмельницької міської ради від 31.01.2018 року №82</t>
  </si>
  <si>
    <t>Рішення позачергової 10-ї сесії Хмельницької міської ради від 29.12.2016 року №1</t>
  </si>
  <si>
    <t>Внески до статутного капіталу комунального підприємства по будівництву, ремонту та експлуатації доріг (Придбання вакуумногодорожньо-прибирального причіпу)</t>
  </si>
  <si>
    <t>Внески до статутного капіталу МКП "Хмельницькводоканал" (на виготовлення проектно-кошторисної документації з будівництва сучасних каналізаційних очисних споруд господарсько-побутових стоків м. Хмельницький, вул. Вінницьке шосе, 135)</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</si>
  <si>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</si>
  <si>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</si>
  <si>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19-ї сесії Хмельницької міської ради від 27.12.2017 року №25</t>
  </si>
  <si>
    <t>Будівництво мережі каналізації ЗОШ №19 м.р. Ружична м.Хмельницький</t>
  </si>
  <si>
    <t>Рішення позачергової 10-ї сесії Хмельницької міської ради від 29.12.2016 року №2</t>
  </si>
  <si>
    <t>1217413</t>
  </si>
  <si>
    <t>7413</t>
  </si>
  <si>
    <t>0451</t>
  </si>
  <si>
    <t>Інші заходи у сфері автотранспорту</t>
  </si>
  <si>
    <t>0810160</t>
  </si>
  <si>
    <t>0710160</t>
  </si>
  <si>
    <t>Програма утримання та розвитку житлово-комунального господарства та благоустрою м.Хмельницького на 2017-2020 роки</t>
  </si>
  <si>
    <t>Програма співфінансування робіт з капітального ремонту багатоквартирних житлових будинків міста Хмельницького на 2017-2022 роки</t>
  </si>
  <si>
    <t>Програма розвитку міського електротранспорту м. Хмельницького на 2016-2020 роки</t>
  </si>
  <si>
    <t>Програма утримання та розвитку житлово-комунального господарства та благоустрою м.Хмельницького на 2017-2020 роки                      Програма сприяння впровадження відновлювальних джерел енергії власниками приватних житлових будинків м. Хмельницького на 2018-2029 роки</t>
  </si>
  <si>
    <t>Рішення позачергової 10-ї сесії Хмельницької міської ради від 29.12.2016 року № 6</t>
  </si>
  <si>
    <t>Рішення 6-ї сесії Хмельницької міської ради від 18.05.2016 року № 37</t>
  </si>
  <si>
    <t>Рішення 4-ї сесії Хмельницької міськї ради від 27.01.2016 року №57</t>
  </si>
  <si>
    <t>1510160</t>
  </si>
  <si>
    <t>3610160</t>
  </si>
  <si>
    <t>1610160</t>
  </si>
  <si>
    <t>3710160</t>
  </si>
  <si>
    <t>1210160</t>
  </si>
  <si>
    <t>2810160</t>
  </si>
  <si>
    <t>Рішення 48-ї сесії Хмельницької міської ради від 04.03.2015 року №80</t>
  </si>
  <si>
    <t>Програма впровадження електронного урядування у Хмельницькій  міській раді на 2015-2020 роки (із змінами і доповненнями)</t>
  </si>
  <si>
    <t>Рішення 19-ї сесії Хмельницької міської ради від 27.12.2017 року №48</t>
  </si>
  <si>
    <t>Програма розвитку міського комунального підприємства "Муніципальна телерадіокомпанія "Місто"" на 2017-2020 роки (із змінами і доповненнями)</t>
  </si>
  <si>
    <t>0817691</t>
  </si>
  <si>
    <t>1217691</t>
  </si>
  <si>
    <t>Рішення 8-ї сесії Хмельницької міської ради від 21.09.2016 року №3</t>
  </si>
  <si>
    <t>Програма бюджетування за участі громадськості (Бюджет участі) міста Хмельницького на 2017-2019 роки (із змінами і доповненнями)</t>
  </si>
  <si>
    <t>Рішення 21-ї сесії Хмельницької міської ради від 11.04.2018 року №11</t>
  </si>
  <si>
    <t>Програма міжнародного співробітництва та промоції міста Хмельницького на 2016-2020 роки (із змінами і доповненнями)</t>
  </si>
  <si>
    <t>Рішення 7-ї сесії Хмельницької міської ради від 20.07.2016 року №76</t>
  </si>
  <si>
    <t>Внески до статутного капіталу ХКП "Спецкомунтранс" (придбання обладнання)</t>
  </si>
  <si>
    <t>Програма розвитку освіти міста Хмельницького на 2017-2021 роки (із змінами і доповненнями)</t>
  </si>
  <si>
    <t>Комплексна програма «Піклування» в м.Хмельницькому на 2017 - 2021 роки (із змінами і доповненнями)</t>
  </si>
  <si>
    <t>Програма охорони довкілля міста Хмельницького на 2016-2020 роки</t>
  </si>
  <si>
    <t>у тому числі  бюджет розвитку</t>
  </si>
  <si>
    <t xml:space="preserve">Усього доходів </t>
  </si>
  <si>
    <t>Офіційні трансферти</t>
  </si>
  <si>
    <t xml:space="preserve">Внески до статутного капіталу МКП "Хмельницькводоканал" (на виготовлення проектно-кошторисної документації з реконструкції ГКНС з переоснащенням системи вентиляції, опалення, будівельних конструкцій і комунікацій </t>
  </si>
  <si>
    <t>Внески до статутного капіталу МКП "Хмельницькводоканал" (на виготовлення проектно-кошторисної документації на будівництво мереж каналізації від прв. Гавришка, 29/1 до вул. Вигодовського, 41 м-н Ружична м. Хмельницький</t>
  </si>
  <si>
    <t>План зонування території міста Хмельницький (зонінг)</t>
  </si>
  <si>
    <t>2019 рік</t>
  </si>
  <si>
    <t>Додаток 9 до рішення  </t>
  </si>
  <si>
    <t>ПЕРЕЛІК </t>
  </si>
  <si>
    <t>кредитів (позик), що залучаються Хмельницькою міською радою до спеціального фонду місцевого бюджету у 2019 році від міжнародних фінансових організацій для реалізації інвестиційних проектів</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</si>
  <si>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</si>
  <si>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</si>
  <si>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Код Функціональної класифікації видатків та кредитування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</si>
  <si>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</si>
  <si>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Найменування кредитора</t>
  </si>
  <si>
    <t>Найменування інвестиційного проекту, що реалізується за рахунок кредиту (позики)</t>
  </si>
  <si>
    <t>Номер та дата договору</t>
  </si>
  <si>
    <t>Термін кредитування</t>
  </si>
  <si>
    <t>Загальний обсяг кредиту (позики)</t>
  </si>
  <si>
    <t>Обсяг залучення кредиту (позики) у плановому році, тис. гривень</t>
  </si>
  <si>
    <t>назва валюти, в якій залучається кредит (позика) </t>
  </si>
  <si>
    <t>загальний обсяг кредиту (позики), тис. одиниць </t>
  </si>
  <si>
    <t>загальний обсяг залучення кредиту (позики), тис. гривень </t>
  </si>
  <si>
    <t>Департамент освіти та науки ХМР</t>
  </si>
  <si>
    <t xml:space="preserve">НЕФКО </t>
  </si>
  <si>
    <t>Підвищення енергетичної ефективності закладів бюджетної сфери міста Хмельницького</t>
  </si>
  <si>
    <t xml:space="preserve"> № ESC 2/16 27.12.2016 р.</t>
  </si>
  <si>
    <t>5 років</t>
  </si>
  <si>
    <t>гривня</t>
  </si>
  <si>
    <t>×</t>
  </si>
  <si>
    <t xml:space="preserve">Субвенція з місцевого бюджету на здійснення переданих видатків у сфері охорони здоров"я за рахунок коштів медичної субвенції </t>
  </si>
  <si>
    <t xml:space="preserve">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 </t>
  </si>
  <si>
    <t>0813210</t>
  </si>
  <si>
    <t>2006 - 2020 роки</t>
  </si>
  <si>
    <t>2018 - 2019 роки</t>
  </si>
  <si>
    <t>2016 - 2019 роки</t>
  </si>
  <si>
    <t>2012 - 2019 роки</t>
  </si>
  <si>
    <t>2018 - 2020 роки</t>
  </si>
  <si>
    <t>2015 - 2019 роки</t>
  </si>
  <si>
    <t>2013 - 2020 роки</t>
  </si>
  <si>
    <t>Будівництво пандусу для забезпечення доступності до території стадіону та ігрових майданчиків Рекреаційного центру "Берег надії" за адресою вул. Підлісна 4/1, с. Головчинці Летичівського району Хмельницької області (в т.ч. виготовлення ПКД)</t>
  </si>
  <si>
    <t>Будівництво спортивного майданчика для міні-футболу зі штучним покриттям на території Хмельницької спеціалізованої загальноосвітньої школи № 19 І-ІІІ ступенів імені академіка Михайла Павловського по вул. Кам’янецька, 164 у м. Хмельницькому</t>
  </si>
  <si>
    <t xml:space="preserve">   - на  забезпечення медикаментами відділень Хмельницької міської дитячої лікарні </t>
  </si>
  <si>
    <t xml:space="preserve">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(підтримка осіб з особливими освітніми потребами) </t>
  </si>
  <si>
    <t xml:space="preserve">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t>
  </si>
  <si>
    <t>підтримка малих групових будинків</t>
  </si>
  <si>
    <t>Будівництво 1 інших об'єктів комунальної власності</t>
  </si>
  <si>
    <t>Надання довгострокових кредитів громадянам на будівництво/реконструкцію/придбання житла</t>
  </si>
  <si>
    <t>Повернення довгострокових кредитів, наданих громадянам на будівництво/реконструкцію/придбання житла</t>
  </si>
  <si>
    <t>Програма зайнятості населення м. Хмельницького на 2018 - 2020 роки</t>
  </si>
  <si>
    <t>Рішення 22-ї сесії Хмельницької міської ради від 04.0.2018 року №5</t>
  </si>
  <si>
    <t>Програма економічного та соціального розвитку міста Хмельницького на 2019 рік</t>
  </si>
  <si>
    <t>Рішення 27-ї сесії Хмельницької міської ради від 14.12.2018 року №14</t>
  </si>
  <si>
    <t>Рішення позачергової 10-ї сесії Хмельницької міської ради від 29.12.2016 року № 6                     Рішення 19-ї сесії Хмельницької міської ради від 27.12.2017 р. № 39</t>
  </si>
  <si>
    <t>Рішення 27-ї сесії Хмельницької міської ради від 14.12.2018 року №16</t>
  </si>
  <si>
    <t>Рішення 27-ї сесії Хмельницької міської ради від 14.12.2018 року №13</t>
  </si>
  <si>
    <t xml:space="preserve">Субвенція з державного бюджету місцевим бюджетам на здійснення заходів щодо соціально-економічного розвитку окремих територій </t>
  </si>
  <si>
    <t>Субвенція з місцевого бюджету за рахунок залишку коштів медичної субвенції, що утворився на початок бюджетного періоду</t>
  </si>
  <si>
    <t>Заходи щодо відновлення і підтримання сприятливого гідрологічного режиму та санітарного стану водойм міста: розроблення проектно-кошторисної документації "Капітальний ремонт, розчистка річки Південний Буг та водовідвідних каналів від вул. Трудової до Східної об‘їзної" з проходженням експертних процедур (ОВД, експертиза проекту тощо)</t>
  </si>
  <si>
    <t>Заходи щодо відновлення і підтримання сприятливого гідрологічного режиму та санітарного стану водойм міста: "Біологічна меліорація (зариблення водойм) в межах міста Хмельницького"</t>
  </si>
  <si>
    <t>2818320</t>
  </si>
  <si>
    <t>8320</t>
  </si>
  <si>
    <t>Проведення спеціальних заходів, спрямованих на запобігання знищенню чи пошкодженню природних комплексів територій та об‘єктів природно-заповідного фонду. Витрати на резервування територій для заповідання</t>
  </si>
  <si>
    <t>0611170</t>
  </si>
  <si>
    <t>1170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</si>
  <si>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</si>
  <si>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</si>
  <si>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</si>
  <si>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</si>
  <si>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Будівництво спортивного майданчика зі штучним покриттям НВК-4 по вул.Перемоги 3/1 в м.Хмельницькому, Хмельницької області</t>
  </si>
  <si>
    <t>1510180</t>
  </si>
  <si>
    <t>2019 - 2020 роки</t>
  </si>
  <si>
    <t>1210180</t>
  </si>
  <si>
    <t>Стара назва: Спортивний майданчик на території СЗОШ І-ІІІ ступенів №6 по провулку Володимирський, 12,  м.Хмельницький - будівництво</t>
  </si>
  <si>
    <t>1515043</t>
  </si>
  <si>
    <t>Створення нових, будівельно-ремонтні роботи існуючих палаців спорту та завершення розпочатих у попередньому періоді робіт з будівництва/реконструкції палаців спорту</t>
  </si>
  <si>
    <t>5043</t>
  </si>
  <si>
    <t>Реконструкція з добудовою до приміщення середньої загальноосвітньої школи І-ІІІ ступенів №18 ім. В.Чорновола по вул. Кам"янецькій, 119 в м.Хмельницькому</t>
  </si>
  <si>
    <t xml:space="preserve">   Будівництво Льодового палацу  по вул.Прибузькій, 7/3А в м.Хмельницькому, в т.ч. виготовлення проектно-кошторисної документації</t>
  </si>
  <si>
    <t>Будівництво спеціалізованого залу боксу на території спортивного комплексу "Поділля" ДЮСШ №1 по вул.Проскурівській, 81  в м.Хмельницькому</t>
  </si>
  <si>
    <t>Будівництво підпірної стінки біля 130-ти квартирного житлового  будинку по вул.Лісогринівецькій,16 в м.Хмельницькому</t>
  </si>
  <si>
    <t>Будівництвоˈ інших об'єктів комунальної власності</t>
  </si>
  <si>
    <t>Збереження природно-заповідного фонду</t>
  </si>
  <si>
    <t>0520</t>
  </si>
  <si>
    <t xml:space="preserve">Будівництво парку "Молодіжний" на вул. С. Бандери в м. Хмельницькому </t>
  </si>
  <si>
    <t>Внески до статутного капіталу ХКП "Спецкомунтранс" (виготовлення проектної документації на реконструкцію полігону твердих побутових відходів з метою запобігання виникнення надзвичайної екологічної ситуації за адресою м. Хмельницький вул. Проспект Миру, 7)</t>
  </si>
  <si>
    <t>Будівництво спортивного майданчика з штучним покриттям по пров. Володимирському, 12 в м. Хмельницькому</t>
  </si>
  <si>
    <t>Внески до статутного капіталу ХКП "Спецкомунтранс" (придбання земельної ділянки)</t>
  </si>
  <si>
    <t>Внески до статутного капіталу МКП "Хмельницькводоканал" (будівництво вуличних мереж водопостачання житлових будинків по пров. Старицького в м. Хмельницький)</t>
  </si>
  <si>
    <t>Внески до статутного капіталу МКП "Хмельницькводоканал" (будівництво вуличних мереж водопостачання житлових будинків по вул. Антона Шашкевича в м. Хмельницькій)</t>
  </si>
  <si>
    <t>Внески до статутного капіталу ХМКП "Муніципальна дружина" (Придбання нагрудних відеореєстраторів)</t>
  </si>
  <si>
    <t>Внески до статутного капіталу ХМКП "Муніципальна дружина" (Придбання автомобіля)</t>
  </si>
  <si>
    <t>Внески до статутного капіталу КП "Південно-Західні тепломережі" (Будівництво теплової мережі від ТК-111 до ТК - 114 по вул.Львівське шосе в м.Хмельницькому)</t>
  </si>
  <si>
    <t>Внески до статутного капіталу Міського комунального підприємства по утриманню нежитлових приміщень (капітальний ремонт приміщень міського військового комісаріату (Хмельницького міського територіального центру комплектації та соціальної підтримки) по вул. Проскурівській, 35 в м. Хмельницькому)</t>
  </si>
  <si>
    <t>1017670</t>
  </si>
  <si>
    <t>Реконструкція існуючої системи опалення Хмельницької ДМШ №3 по вул.Кармелюка, 8/1</t>
  </si>
  <si>
    <t>1217370</t>
  </si>
  <si>
    <t>Внески до статутного капіталу МКП "Хмельницькводоканал" (будівництво вуличних мереж водовідведення по вул.О.Кошового та Черняховського у м.Хмельницький)</t>
  </si>
  <si>
    <t>Внески до статутного капіталу МКП "Хмельницькводоканал" (будівництво вуличних мереж водовідведення напірних каналізаційних колекторів, каналізаційно- насосної станції, електропостачання КНС, мікрорайон Дубове у м.Хмельницький)</t>
  </si>
  <si>
    <t>Внески до статутного капіталу МКП "Хмельницькводоканал" (будівництво вуличних мереж водопостачання, мікрорайон Лезневе у м.Хмельницький)</t>
  </si>
  <si>
    <t xml:space="preserve">Управління з питань екології та контролю за благоустроєм міста Хмельницької міської ради (головний розпорядник) </t>
  </si>
  <si>
    <t xml:space="preserve">Управління з питань екології та контролю за благоустроєм міста Хмельницької міської ради (відповідальний виконавець) </t>
  </si>
  <si>
    <t>Управління архітектури та містобудування Департаменту архітектури, містобудування та земельних ресурсів Хмельницької міської ради (головний розпорядник)</t>
  </si>
  <si>
    <t>Управління архітектури та містобудування Департаменту архітектури, містобудування та земельних ресурсів Хмельницької міської ради (відповідальний виконавець)</t>
  </si>
  <si>
    <t>Управління земельних ресурсів та земельної реформи Департаменту архітектури, містобудування та земельних ресурсів Хмельницької міської ради (головний розпорядник)</t>
  </si>
  <si>
    <t>Управління земельних ресурсів та земельної реформи Департаменту архітектури, містобудування та земельних ресурсів Хмельницької міської ради (відповідальний розпорядник)</t>
  </si>
  <si>
    <t>0219770</t>
  </si>
  <si>
    <t>Субвенція з місцевого бюджету державному бюджету на виконання програм соціально-економічного розвитку регіонів</t>
  </si>
  <si>
    <t>0219800</t>
  </si>
  <si>
    <t>9800</t>
  </si>
  <si>
    <t>Будівництво мереж водопостачання вул.Молодіжної села Кошелівка Красилівського району Хмельницької області</t>
  </si>
  <si>
    <t>Програма висвітлення діяльності Хмельницької міської ради та її виконавчих органів на 2019 рік</t>
  </si>
  <si>
    <t>Рішення 29-ї сесії Хмельницької міської ради від 13.02.2019 року №103</t>
  </si>
  <si>
    <t>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(91 х 46) зі штучним покриттям по вулиці Шевченка, 46</t>
  </si>
  <si>
    <t>Рішення 20-ї сесії Хмельницької міської ради від 31.01.2018 року №2</t>
  </si>
  <si>
    <t>Програма
шефської допомоги військовим частинам Збройних Сил України, Національної гвардії України, які розташовані на території м. Хмельницького на 2018 - 2019 роки  (із змінами і доповненнями)</t>
  </si>
  <si>
    <t>Внески до статутного капіталу ХКП "Спецкомунтранс" (проектні роботи з оцінки впливу на довкілля (ОВНС) "Реконструкція полігону твердих побутових відходів з метою запобігання виникнення надзвичайної екологічної ситуації за адресою м. Хмельницький, вул. Проспект Миру, 7"</t>
  </si>
  <si>
    <t>Внески до статутного капіталу ХКП "Спецкомунтранс" (виготовлення містобудівного розрахунку по об`єкту: "Реконструкція полігону твердих побутових відходів за адресою м. Хмельницький, вул. Проспект Миру, 7")</t>
  </si>
  <si>
    <t>Рішення 6-ї сесії Хмельницької міської ради від 18.05.2016 року №3</t>
  </si>
  <si>
    <t>Програма
забезпечення охорони прав і свобод людини, профілактики злочинності та підтримання публічної безпеки і порядку на території міста Хмельницького на 2016 - 2020 роки (із змінами і доповненнями)</t>
  </si>
  <si>
    <t>Рішення 15-ї сесії Хмельницької міської ради від 31.05.2017 року №6</t>
  </si>
  <si>
    <t>Програма
щодо забезпечення належних комунально-побутових умов засуджених та осіб, узятих під варту, які утримуються в Хмельницькому слідчому ізоляторі, на 2017 - 2020 роки (із змінами і доповненнями)</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</si>
  <si>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у м. Хмельницькому на 2016 - 2020 роки (із змінами і доповненнями)</t>
  </si>
  <si>
    <t>Рішення 4-ї сесії Хмельницької міської ради від 27.01.2016 року №57</t>
  </si>
  <si>
    <t>Рішення 9-ї сесії Хмельницької міської ради від 26.10.2016 року №4</t>
  </si>
  <si>
    <t>Програма
військово-патріотичного виховання мешканців міста Хмельницького на 2016 - 2020 роки (із змінами і доповненнями)</t>
  </si>
  <si>
    <t>Комплексна програма мобілізації зусиль Хмельницької міської ради, її виконавчих органів та комунальних підприємств і Управління Державної міграційної служби України в Хмельницькій області по забезпеченню реалізації державної політики в сфері громадянства,</t>
  </si>
  <si>
    <t>Рішення 50-ї сесії Хмельницької міської ради від 27.05.2015 року №58</t>
  </si>
  <si>
    <t xml:space="preserve"> реєстрації фізичних осіб на 2015 - 2019 роки (із змінами і доповненнями)</t>
  </si>
  <si>
    <t>0717670</t>
  </si>
  <si>
    <t>Внески до статутного капіталу МКП "Хмельницькводоканал" (розроблення ПКД на будівництво мережі каналізації від вул. Польова, 51 по пров. Ентузіастів до вул. Івана Павла ІІ, 5, м-р. Гречани м. Хмельницький)</t>
  </si>
  <si>
    <t>0719770</t>
  </si>
  <si>
    <t>Реконструкція покрівлі з влаштуванням шатрового даху корпусу №2 Хмельницької міської лікарні по пров. Проскурівський, 1 в м. Хмельницькому (в тому числі виготовлення проектно-кошторисної документації)</t>
  </si>
  <si>
    <t>Будівництво дизельної електростанції (ДЕС) для резервного електропостачання відділення амбулаторного гемодіалізу Хмельницької міської лікарні по пров.Проскурівському, 1 в м.Хмельницькому (в тому числі виготовлення проектно-кошторисної документації)</t>
  </si>
  <si>
    <t>Протиаварійні роботи підвального приміщення адміністративної будівлі управління охорони здоров"я ХМР по вул. Грушевського, 64 м. Хмельницького (ремонтно-реставраційні роботи)</t>
  </si>
  <si>
    <t>Програма «Здоров’я хмельничан» на 2017-2021 роки (із змінами і доповненнями)</t>
  </si>
  <si>
    <t>0813086</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</si>
  <si>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</si>
  <si>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t>
  </si>
  <si>
    <t>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</si>
  <si>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Рішення 6-ї сесії Хмельницької міської ради від 18.05.2016 року №7</t>
  </si>
  <si>
    <t>Програма 
"Громадські ініціативи" м.Хмельницького на 2016 - 2020 роки (із змінами і доповненнями)</t>
  </si>
  <si>
    <t>1117670</t>
  </si>
  <si>
    <t>Завершення будівництва нежитлового приміщення з влаштуванням зовнішніх мереж та футбольного і тренажерного майданчиків на водно-спортивній станції по вул.Нижній Береговій, 2/1 в м.Хмельницькому</t>
  </si>
  <si>
    <t>2018 - 2022 роки</t>
  </si>
  <si>
    <t>Внески до статутного капіталу ХКП "Спецкомунтранс" (реконструкція туалету загального користування по вул. Проскурівській, 40-Б в м. Хмельницькому)</t>
  </si>
  <si>
    <t xml:space="preserve">Субвенція з місцевого бюджету на забезпечення якісної, сучасної та доступної загальної середньої освіти "Нова українська школа" </t>
  </si>
  <si>
    <t>Внески до статутного капіталу Міського комунального підприємства по утриманню нежитлових приміщень (капітальний ремонт приміщень першого поверху по вул. Кам'янецькій, 47 в м. Хмельницькому)</t>
  </si>
  <si>
    <t>Проведення проектно-вишукувальних робіт для "Реконструкції  спортивного майданчика біля житлового будинку по вул. Прибузькій, 36 в м.Хмельницькому"</t>
  </si>
  <si>
    <t>0813049</t>
  </si>
  <si>
    <t>Відшкодування послуги з догляду за дитиною до трьох років "муніципальна няня"</t>
  </si>
  <si>
    <t>3049</t>
  </si>
  <si>
    <t>2719770</t>
  </si>
  <si>
    <t>Реконструкція приміщень відділення хірургії та неврології КП "Хмельницька міська дитяча лікарня Хмельницької міської ради" за адресою: м.Хмельницький, вул.С.Разіна,1 (в тому числі виготовлення проектно-кошторисної документації)</t>
  </si>
  <si>
    <t xml:space="preserve">до рішення  №        від         2019 року </t>
  </si>
  <si>
    <t>Робочий проект на реконструкцію приміщень КП "Хмельницька міська дитяча лікарня Хмельницької міської ради" під відділення невідкладної допомоги та реанімації за адресою: м.Хмельницький, вул. С.Разіна,1</t>
  </si>
  <si>
    <t>Внески до статутного капіталу СКП "Хмельницька міська ритуальна служба" (капітальний ремонт приміщення адміністративної будівлі по вул.Львівському шосе №61/2а)</t>
  </si>
  <si>
    <t>Внески до статутного капіталу Міського комунального підприємства по утриманню нежитлових приміщень (капітальний ремонт приміщень міського військового комісаріату по вул. Проскурівській, 35 (штаб в/ч А7179, батальйон ТРО) в м. Хмельницькому)</t>
  </si>
  <si>
    <t>Внески до статутного капіталу МКП "Хмельницьктеплокомуненерго" (реконструкція котельні по вул. Водопровідній, 48, м. Хмельницький)</t>
  </si>
  <si>
    <t>Внески до статутного капіталу МКП "Хмельницьктеплокомуненерго" (реконструкція котельні з прибудовою приміщень по вул. Кам`янецькій, 46/1, 48/1, м. Хмельницький)</t>
  </si>
  <si>
    <t>Внески до статутного капіталу МКП "Хмельницькводоканал" (реконструкція ділянки водопроводу діам. 400 мм по вул. С.Бандери від вул. Верхня Берегова до вул.Нижня Берегова в м. Хмельницький)</t>
  </si>
  <si>
    <t>Внески до статутного капіталу МКП "Хмельницькводоканал" (реконструкція ділянки водопроводу діаметром  400 мм на перехресті вул. C.Бандери- вул.М. Мазура в м. Хмельницький)</t>
  </si>
  <si>
    <t>Внески до статутного капіталу МКП "Хмельницькводоканал" (на реконструкцію системи знезараження питної води ВНС-9 по проспекту Миру,36/2А у м Хмельницький)</t>
  </si>
  <si>
    <t>Внески до статутного капіталу Міського комунального підприємства по утриманню нежитлових приміщень (реконструкція нежитлового приміщення за адресою вул.Героїв Майдану, 12 у м.Хмельницький)</t>
  </si>
  <si>
    <t>Внески до статутного капіталу КП по зеленому будівництву та благоустрою міста (придбання травокосарок)</t>
  </si>
  <si>
    <t>Програма співфінансування робіт з ремонту багатоквартирних житлових будинків м. Хмельницького на 2019-2023 роки</t>
  </si>
  <si>
    <t>Програма популяризації та ефективного впрвадження програм у сфері житлово-комунального господарства на 2019-2023 роки</t>
  </si>
  <si>
    <t>Рішення виконавчого комітету від 28.03.2019 року № 291</t>
  </si>
  <si>
    <t xml:space="preserve">Секретар міської ради                                                                                                                                                                                  М. Кривак </t>
  </si>
  <si>
    <t>1517370</t>
  </si>
  <si>
    <t>0813087</t>
  </si>
  <si>
    <t>3087</t>
  </si>
  <si>
    <t>Надання допомоги на дітей, які виховуються у багатодітних сім'ях</t>
  </si>
  <si>
    <t>Внески до статутного капіталу МКП "Хмельницькводоканал" (будівництво мереж водопроводу та напірної каналізації по вул. Геологів м.Хмельницький)</t>
  </si>
  <si>
    <t>Внески до статутного капіталу МКП "Хмельницькводоканал" (будівництво мереж водопроводу по вул. Гунашевського, вул. Дубівська, вул. Білгородська, вул. Авіаційна, пров. Білгородський, пров. Авіаційний, пров. Дубівський, пров. Затишний, пров. Дачний та вул. О. Вишні в м.Хмельницький)</t>
  </si>
  <si>
    <t>Відшкодування витрат, понесених комунальним підприємством «Чайка», на надання лазневих послуг на пільгових умовах учасникам бойових дій,  особам з інвалідністю внаслідок війни, особам з інвалідністю внаслідок військової служби, які  зареєстровані у м. Хмельницькому</t>
  </si>
  <si>
    <t>Програма соціальної підтримки учасників АТО, учасників Революції Гідності, бійців-добровольців АТО у м. Хмельницькому та членів їх сімей на 2018 - 2020 рр. (із змінами і доповненнями)</t>
  </si>
  <si>
    <t>Програма соціальної підтримки учасників АТО, учасників Революції Гідності, бійців-добровольців АТО у м. Хмельницькому та членів їх сімей на 2018 - 2020 рр.  (із змінами і доповненнями)</t>
  </si>
  <si>
    <t>Реконструкція мереж водопроводу та каналізації в мікрорайоні "Лезнево" м.Хмельницький</t>
  </si>
  <si>
    <t>Внески до статутного капіталу МКП "Хмельницькводоканал" (реконструкція самопливного каналізаційного колектора по вул.Старокостянтинівське шосе в м.Хмельницький)</t>
  </si>
  <si>
    <t>Комплексна Програма реалізації молодіжної політики та розвитку фізичної культури і спорту у м.Хмельницькому на 2017 - 2021 роки (із змінами і доповненнями)</t>
  </si>
  <si>
    <t>ВНЕСЕНО ЗМІНИ ПО ПРОТОКОЛУ БК</t>
  </si>
  <si>
    <t>Рішення шістнадцятої сесії Хмельницької міської ради від 12.07.2017 року № 28</t>
  </si>
  <si>
    <t>Рішення 13-ї сесії міської ради від 17.04.2019 року № 49</t>
  </si>
  <si>
    <t>Рішення 13-ї сесії міської ради від 17.04.2019 року № 48</t>
  </si>
  <si>
    <t>Програма часткового відшкодування відсоткових ставок за залученими кредитами, що надаються фізичним особам, об’єднанням співвласників багатоквартирних будинків та житлово-будівельним кооперативам на заходи з підвищення енергоефективності на 2018-2021 роки</t>
  </si>
  <si>
    <t>Рішення 19-ї сесії  міської ради від 27.12.2017 р. № 40</t>
  </si>
  <si>
    <t>Рішення 29-ї сесії міської ради від13.02.2019 р. № 31</t>
  </si>
  <si>
    <t>Програма відшкодування частини відсоткових ставок та кредитів, отриманних ОСББ, ЖБК на впровадження відновлювальних джерел енергії та заходів з енергозбереження, термомодернізації багатоквартирних житлових будинків у м.Хмельницькому на 2019-2022 роки</t>
  </si>
  <si>
    <t>Програма відшкодування частини кредитів, отриманих ОСББ, ЖБК на впровадження відновлювальних джерел енергії та заходів з енергозбереження, термомодернізації багатоквартирних житлових будинків у м. Хмельницькому на 2018-2022 роки</t>
  </si>
  <si>
    <t xml:space="preserve">Рішення позачергової 10-ї сесії Хмельницької міської ради від 29.12.2016 року № 6                    Рішення 20-ї сесії міської ради від 31.01.2018 р. № 19
</t>
  </si>
  <si>
    <t>0813221</t>
  </si>
  <si>
    <t>3221</t>
  </si>
  <si>
    <t>Грошова компенсація за належні для отримання жилі приміщення для сімей осіб, визначених абзацами 5 - 8 пункту 1 статті 10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</si>
  <si>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</si>
  <si>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</si>
  <si>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0813223</t>
  </si>
  <si>
    <t>3223</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</si>
  <si>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t>
  </si>
  <si>
    <t xml:space="preserve">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</si>
  <si>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гарантії їх соціального захисту", та які потребують поліпшення житлових умов</t>
  </si>
  <si>
    <t>1217462</t>
  </si>
  <si>
    <t>7462</t>
  </si>
  <si>
    <t>Утримання та розвиток автомобільних доріг та дорожньої інфраструктури за рахунок субвенції з державного бюджету</t>
  </si>
  <si>
    <t xml:space="preserve">Субвенція з державного бюджету місцевим бюджетам на створення нових, будівельно-ремонтні роботи існуючих палаців спорту та завершення розпочатих у попередньому періоді робіт з будівництва/реконструкції палаців спорту </t>
  </si>
  <si>
    <t xml:space="preserve">Субвенція з місцевого бюджету  на виплату грошової компенсації за належні для отримання жилі приміщення для сімей осіб, визначених абзацами 5-8 пункту статті 10 Закону України  «Про статус ветеранів війни, гарантії їх соціального захисту» , для осіб з інвалідністю І – 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забезпечення її проведення, здійсненні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забезпечення їх здійснення,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</si>
  <si>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 – ІІ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</si>
  <si>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 xml:space="preserve">Субвенція з місцевого бюджету на реалізацію заходів, спрямованих на підвищення якості освіти за рахунок відповідної субвенції з державного бюджету </t>
  </si>
  <si>
    <t xml:space="preserve">Субвенції з державного бюджету місцевим бюджетам </t>
  </si>
  <si>
    <t xml:space="preserve">Субвенції з місцевих бюджетів іншим місцевим бюджетам </t>
  </si>
  <si>
    <t xml:space="preserve">  -  на фінансування мікропоектів</t>
  </si>
  <si>
    <t>Нове будівництво огорожі та освітлення території в/м №45, м. Хмельницький</t>
  </si>
  <si>
    <t>1610180</t>
  </si>
  <si>
    <t>Розроблення розділу "Охорона навколишнього природного середовища" проекту містобудівної документації "Детальний план території  центральної частини міста" - звіту про стратегічну екологічну оцінку.</t>
  </si>
  <si>
    <t>Внески до статутного капіталу ХКП  "Міськсвітло" (придбання ілюмінації для святкового оформлення новорічного ярмарку)</t>
  </si>
  <si>
    <t>Внески до статутного капіталу МКП "Хмельницькводоканал" (будівництво вуличних мереж водовідведення по вул.Черняховського у м.Хмельницький)</t>
  </si>
  <si>
    <t>Внески до статутного капіталу МКП "Хмельницькводоканал" (будівництво водопроводу по вул. Митрополита Шептицького (мкр-н "Дубове 1") в м.Хмельницький)</t>
  </si>
  <si>
    <t>Проведення експертизи проектної документації "Реконструкція  спортивного майданчика біля житлового будинку по вул.Прибузькій, 36 в м.Хмельницькому"</t>
  </si>
  <si>
    <t>1115062</t>
  </si>
  <si>
    <t>5062</t>
  </si>
  <si>
    <t>Підтримка спорту вищих досягнень та організацій, які здійснюють фізкультурно-спортивну діяльність в регіоні</t>
  </si>
  <si>
    <t>Внески до статутного капіталу МКП "Хмельницькводоканал"(на будівництво вуличних мереж водопостачання житлових будинків по вул. Криничній в м.Хмельницький)</t>
  </si>
  <si>
    <t>Розроблення розділу "Охорона навколишнього природного середовища" проекту містобудівної документації "Детальний план території  "Заріччя" - звіту про стратегічну екологічну оцінку.</t>
  </si>
  <si>
    <t>Внески до статутного капіталу МКП "Хмельницькводоканал" (будівництво вуличної мережі водопроводу від житлового будинку №20/1Д до житлового будинку №82/1Б по вул.Нагірній в м. Хмельницький)</t>
  </si>
  <si>
    <t>Розробка проектно-кошторисної документації на "Реконструкцію аеродромного комплексу КП «Аеропорт Хмельницький» з подовженням штучної злітно-посадкової смуги на 500 метрів"</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</si>
  <si>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</si>
  <si>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0816083</t>
  </si>
  <si>
    <t>6083</t>
  </si>
  <si>
    <t xml:space="preserve">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 </t>
  </si>
  <si>
    <t xml:space="preserve">Субвенція з місцевого бюджету на здійснення переданих видатків у сфері освіти за рахунок коштів  освітньої субвенції </t>
  </si>
  <si>
    <t>Реконструкція мережі зовнішнього електропостачання  107 садових будинків ОК "Садівниче товариство "Левада-Гречани" проїзд 1-й Трояндовий - 8-й Трояндовий в межах м. Хмельницького</t>
  </si>
  <si>
    <t>Внески до статутного капіталу КП по зеленому будівництву та благоустрою міста (придбання ілюмінації для святкового оформлення новорічного ярмарку)</t>
  </si>
  <si>
    <t xml:space="preserve">Реконструкція спортивного майданчика під мультифункціональний  майданчик для занять ігровими видами спорту на території Хмельницької середньої загальноосвітньої школи І-ІІІ ступенів №21 за адресою просп. Миру, 76/5 (в тому числі виготовлення проектно-кошторисної документації) </t>
  </si>
  <si>
    <t>Реконструкцію спортивного майданчика під мультифункціональний  майданчик для занять ігровими видами спорту на території Хмельницької спеціалізованої школи І ступеня №30 за адресою просп. Миру, 76/6 (в тому числі виготовлення проектно-кошторисної документації)</t>
  </si>
  <si>
    <t>Рішення 5-ї сесії Хмельницької міської ради від 16.03.2016 року №10</t>
  </si>
  <si>
    <t>Програма 
підтримки сім'ї на 2016 - 2020 роки  (із змінами і доповненнями)</t>
  </si>
  <si>
    <t>Програма фінансової підтримки комунальної установи Хмельницької міської ради "Агенція розвитку Хмельницького" на 2019-2021 роки (із змінами і доповненнями)</t>
  </si>
  <si>
    <t xml:space="preserve">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 </t>
  </si>
  <si>
    <t xml:space="preserve">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безпосереденьо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19 - 20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</si>
  <si>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t xml:space="preserve">   - на проведення реконструкції технологічної частини холодного водопостачання ЦТП-6  по  вул. Залізняка, 36а в м. Хмельницький</t>
  </si>
  <si>
    <t>5045</t>
  </si>
  <si>
    <t>0615045</t>
  </si>
  <si>
    <t>Будівництво мультифункціональних майданчиків для занять ігровими видами спорту</t>
  </si>
  <si>
    <t xml:space="preserve">  - на матеріально-технічну базу Хмельницького інклюзивно-ресурсного центру №1</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</si>
  <si>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t>
  </si>
  <si>
    <t>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t>
  </si>
  <si>
    <t xml:space="preserve">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19 - 20 частини першої статті 6 Закону </t>
  </si>
  <si>
    <t>України "Про статус ветеранів війни, гарантії їх соціального захисту", та які потребують поліпшення житлових умов</t>
  </si>
  <si>
    <t>*****</t>
  </si>
  <si>
    <t>Попередження виникнення надзвичайних ситуацій та забезпечення  пожежної і техногенної безпеки об'єктів усіх форм власності,розвитку інфраструктури пожежно-рятувальних підрозділів у м.Хмельницькому на 2016-2020 роки (із змінами і доповненнями)</t>
  </si>
  <si>
    <t>Програма розвитку підприємництва міста Хмельницького на 2019-2021 роки  (із змінами і доповненнями)</t>
  </si>
  <si>
    <t>Програма створення та розвитку індустріального парку "Хмельницький"  (із змінами і доповненнями)</t>
  </si>
  <si>
    <t>Програма поводження з побутовими відходами у м.Хмельницьницькому на 2018-2019р.р.</t>
  </si>
  <si>
    <t>Рішення виконавчого комітету від 28.03.2019 року № 884</t>
  </si>
  <si>
    <t>Внески до статутного капіталу ХКП "Спецкомунтранс" (виготовлення проектної документація по виносу газопроводу високого тиску з тіла полігону твердих побутових відходів м. Хмельницького )</t>
  </si>
  <si>
    <t>Внески до статутного капіталу ХКП "Спецкомунтранс" (проведення геологічних вишукувань на території полігону твердих побутових відходів м. Хмельницького)</t>
  </si>
  <si>
    <t xml:space="preserve">Внески до статутного капіталу ХКП "Спецкомунтранс" (проведення геодезичних вишукувань на території полігону твердих побутових відходів м. Хмельницького) </t>
  </si>
  <si>
    <t>Будівництво Палацу спорту по вул.Прибузькій, 5/1а в м.Хмельницькому, в тому числі виготовлення проектно-кошторисної документації</t>
  </si>
  <si>
    <t xml:space="preserve"> Реконструкція з добудовою приміщень Хмельницького ліцею №17 під спортивну залу на вул.Героїв Майдану, 5 в м.Хмельницькому (в тому числі виготовлення проектно-кошторисної документації)</t>
  </si>
  <si>
    <t>2018 - 2023 роки</t>
  </si>
  <si>
    <t>2818312</t>
  </si>
  <si>
    <t>8312</t>
  </si>
  <si>
    <t>0512</t>
  </si>
  <si>
    <t>Придбання та впровадження установок, обладнання та машин для збору,транспортування, перероблення, знешкодження та складування побутових відходів: контейнери для розподільного збирання побутових відходів</t>
  </si>
  <si>
    <t>Утилізація відходів</t>
  </si>
  <si>
    <t xml:space="preserve"> Реконструкція вводу теплової мережі з заміною вузла обліку теплової енергії в приміщенні ДНЗ "ВПУ №11 м.Хмельницького" по вул. Тернопільська 15/2</t>
  </si>
  <si>
    <t>Будівництво на кладовищі надгробків на могилах загиблих учасників АТО/ООС</t>
  </si>
  <si>
    <t>РІЗНИЦЯ</t>
  </si>
  <si>
    <t xml:space="preserve">Ю. </t>
  </si>
  <si>
    <t xml:space="preserve">Керуючий справами </t>
  </si>
  <si>
    <t>Ю. САБІЙ</t>
  </si>
  <si>
    <t xml:space="preserve">Керуючий справами                                                                                                                                                                                                                     Ю. САБІЙ </t>
  </si>
  <si>
    <t>Керуючий справами                                                                                                                                                                           Ю. САБІЙ</t>
  </si>
  <si>
    <t xml:space="preserve">Керуючий справами                                                                                                                                                   Ю. САБІЙ </t>
  </si>
  <si>
    <t>Керуючий справами                                                                                                                                                                                Ю. САБІЙ</t>
  </si>
  <si>
    <t xml:space="preserve">Ю. САБІЙ </t>
  </si>
  <si>
    <t xml:space="preserve">Внески до статутного капіталу ХКП "Спецкомунтранс " (роботи з влаштування моніторингових свердловин на полігоні твердих побутових відходів м. Хмельницького) </t>
  </si>
  <si>
    <t xml:space="preserve">Внески до статутного капіталу ХКП "Спецкомунтранс " придбання земельної ділянки для розширення меж полігону твердих побутових відходів м. Хмельницького </t>
  </si>
  <si>
    <t>Внески до статутного капіталу МКП "Хмельницькводоканал" (реконструкція технологічної частини холодного водопостачання ЦТП - 6 по вул. М.Залізняка,36 А  в м.Хмельницький)</t>
  </si>
  <si>
    <t>Внески до статутного капіталу МКП "Хмельницькводоканал" (будівництво вуличного водопроводу по вул.Достоєвського від вул. Київська до прв. Достоєвського в м. Хмельницький)</t>
  </si>
  <si>
    <t>Рішення 5-ї сесії Хмельницької міської ради від 16.03.2016 року №31  (із змінами і доповненнями)</t>
  </si>
  <si>
    <t>Про затвердження Комплексної програми мобілізації зусиль Хмельницької міської ради та Головного управління Державної фіскальної служби у Хмельницькій області по забезпеченню надходжень до бюджетів усіх рівнів на 2016 - 2020 роки (із змінами і доповненнями)</t>
  </si>
  <si>
    <t>Рішення 6-ї сесії Хмельницької міської ради від 18.05.2016 року №15</t>
  </si>
  <si>
    <t xml:space="preserve">до рішення   № 954   від 28.11.2019 року   </t>
  </si>
  <si>
    <t>від 28.11.2019 №954</t>
  </si>
  <si>
    <t xml:space="preserve">до рішення  №954  від 28.11.2019 року </t>
  </si>
  <si>
    <t>Додаток № 4
до рішення  №954 від 28.11.2019 року</t>
  </si>
  <si>
    <t xml:space="preserve">Додаток № 5
до рішення №954 від 28.11.2019 року
</t>
  </si>
  <si>
    <t>до рішення № 954 від 28.11.2019</t>
  </si>
  <si>
    <t>до рішення № 954</t>
  </si>
  <si>
    <t xml:space="preserve">від 28.11.2019 </t>
  </si>
  <si>
    <t xml:space="preserve">до рішення  № 954 від 28.11.2019 року </t>
  </si>
  <si>
    <r>
      <rPr>
        <sz val="11"/>
        <color theme="1"/>
        <rFont val="Times New Roman"/>
        <family val="1"/>
        <charset val="204"/>
      </rPr>
      <t>від 28.11.2019</t>
    </r>
    <r>
      <rPr>
        <sz val="12"/>
        <color theme="1"/>
        <rFont val="Times New Roman"/>
        <family val="1"/>
        <charset val="204"/>
      </rPr>
      <t xml:space="preserve"> № 954</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</si>
</sst>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00"/>
    <numFmt numFmtId="167" formatCode="#,##0.00000"/>
    <numFmt numFmtId="168" formatCode="#,##0.0000"/>
  </numFmts>
  <fonts count="130" x14ac:knownFonts="1">
    <font>
      <sz val="10"/>
      <name val="Arial Cyr"/>
      <charset val="204"/>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b/>
      <sz val="12"/>
      <name val="Times New Roman"/>
      <family val="1"/>
      <charset val="204"/>
    </font>
    <font>
      <b/>
      <sz val="14"/>
      <name val="Times New Roman"/>
      <family val="1"/>
      <charset val="204"/>
    </font>
    <font>
      <sz val="14"/>
      <name val="Times New Roman"/>
      <family val="1"/>
      <charset val="204"/>
    </font>
    <font>
      <b/>
      <sz val="10"/>
      <name val="Times New Roman"/>
      <family val="1"/>
      <charset val="204"/>
    </font>
    <font>
      <sz val="8"/>
      <name val="Times New Roman"/>
      <family val="1"/>
      <charset val="204"/>
    </font>
    <font>
      <b/>
      <sz val="10"/>
      <color indexed="8"/>
      <name val="Times New Roman"/>
      <family val="1"/>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sz val="11"/>
      <name val="Times New Roman"/>
      <family val="1"/>
      <charset val="204"/>
    </font>
    <font>
      <b/>
      <sz val="11"/>
      <name val="Times New Roman"/>
      <family val="1"/>
      <charset val="204"/>
    </font>
    <font>
      <b/>
      <sz val="11"/>
      <color indexed="8"/>
      <name val="Times New Roman"/>
      <family val="1"/>
      <charset val="204"/>
    </font>
    <font>
      <sz val="11"/>
      <color indexed="8"/>
      <name val="Times New Roman"/>
      <family val="1"/>
      <charset val="204"/>
    </font>
    <font>
      <b/>
      <i/>
      <sz val="11"/>
      <color indexed="8"/>
      <name val="Times New Roman"/>
      <family val="1"/>
      <charset val="204"/>
    </font>
    <font>
      <sz val="9"/>
      <color indexed="8"/>
      <name val="Times New Roman"/>
      <family val="1"/>
      <charset val="204"/>
    </font>
    <font>
      <b/>
      <i/>
      <sz val="10"/>
      <name val="Times New Roman"/>
      <family val="1"/>
      <charset val="204"/>
    </font>
    <font>
      <b/>
      <i/>
      <sz val="10"/>
      <color indexed="8"/>
      <name val="Times New Roman"/>
      <family val="1"/>
      <charset val="204"/>
    </font>
    <font>
      <sz val="10"/>
      <color indexed="8"/>
      <name val="Times New Roman"/>
      <family val="1"/>
      <charset val="204"/>
    </font>
    <font>
      <b/>
      <sz val="36"/>
      <name val="Times New Roman"/>
      <family val="1"/>
      <charset val="204"/>
    </font>
    <font>
      <sz val="36"/>
      <name val="Times New Roman"/>
      <family val="1"/>
      <charset val="204"/>
    </font>
    <font>
      <b/>
      <i/>
      <sz val="36"/>
      <name val="Times New Roman"/>
      <family val="1"/>
      <charset val="204"/>
    </font>
    <font>
      <b/>
      <sz val="37"/>
      <name val="Times New Roman"/>
      <family val="1"/>
      <charset val="204"/>
    </font>
    <font>
      <i/>
      <sz val="37"/>
      <name val="Times New Roman"/>
      <family val="1"/>
      <charset val="204"/>
    </font>
    <font>
      <sz val="37"/>
      <name val="Times New Roman"/>
      <family val="1"/>
      <charset val="204"/>
    </font>
    <font>
      <b/>
      <i/>
      <sz val="37"/>
      <name val="Times New Roman"/>
      <family val="1"/>
      <charset val="204"/>
    </font>
    <font>
      <sz val="36"/>
      <name val="Arial Cyr"/>
      <charset val="204"/>
    </font>
    <font>
      <b/>
      <sz val="18"/>
      <name val="Times New Roman"/>
      <family val="1"/>
      <charset val="204"/>
    </font>
    <font>
      <sz val="10"/>
      <color indexed="8"/>
      <name val="Arial"/>
      <family val="2"/>
      <charset val="204"/>
    </font>
    <font>
      <b/>
      <i/>
      <sz val="11"/>
      <name val="Times New Roman"/>
      <family val="1"/>
      <charset val="204"/>
    </font>
    <font>
      <i/>
      <sz val="11"/>
      <name val="Times New Roman"/>
      <family val="1"/>
      <charset val="204"/>
    </font>
    <font>
      <sz val="10"/>
      <name val="Arial Cyr"/>
      <charset val="204"/>
    </font>
    <font>
      <sz val="11"/>
      <name val="Times New Roman Cyr"/>
      <charset val="204"/>
    </font>
    <font>
      <i/>
      <sz val="11"/>
      <color indexed="8"/>
      <name val="Times New Roman"/>
      <family val="1"/>
      <charset val="204"/>
    </font>
    <font>
      <i/>
      <sz val="10"/>
      <name val="Arial Cyr"/>
      <charset val="204"/>
    </font>
    <font>
      <sz val="11"/>
      <name val="Arial Cyr"/>
      <charset val="204"/>
    </font>
    <font>
      <b/>
      <sz val="28"/>
      <name val="Times New Roman Cyr"/>
      <family val="1"/>
      <charset val="204"/>
    </font>
    <font>
      <b/>
      <sz val="36"/>
      <name val="Times New Roman Cyr"/>
      <family val="1"/>
      <charset val="204"/>
    </font>
    <font>
      <sz val="20"/>
      <name val="Times New Roman Cyr"/>
      <family val="1"/>
      <charset val="204"/>
    </font>
    <font>
      <b/>
      <sz val="26"/>
      <name val="Times New Roman Cyr"/>
      <family val="1"/>
      <charset val="204"/>
    </font>
    <font>
      <b/>
      <sz val="16"/>
      <name val="Times New Roman"/>
      <family val="1"/>
      <charset val="204"/>
    </font>
    <font>
      <sz val="9"/>
      <name val="Times New Roman"/>
      <family val="1"/>
      <charset val="204"/>
    </font>
    <font>
      <b/>
      <sz val="9"/>
      <color indexed="8"/>
      <name val="Times New Roman"/>
      <family val="1"/>
      <charset val="204"/>
    </font>
    <font>
      <b/>
      <sz val="9"/>
      <name val="Times New Roman"/>
      <family val="1"/>
      <charset val="204"/>
    </font>
    <font>
      <b/>
      <i/>
      <sz val="9"/>
      <name val="Times New Roman"/>
      <family val="1"/>
      <charset val="204"/>
    </font>
    <font>
      <b/>
      <i/>
      <sz val="9"/>
      <color indexed="8"/>
      <name val="Times New Roman"/>
      <family val="1"/>
      <charset val="204"/>
    </font>
    <font>
      <b/>
      <i/>
      <sz val="8"/>
      <name val="Bookman Old Style"/>
      <family val="1"/>
      <charset val="204"/>
    </font>
    <font>
      <sz val="8"/>
      <name val="Bookman Old Style"/>
      <family val="1"/>
      <charset val="204"/>
    </font>
    <font>
      <b/>
      <i/>
      <sz val="9"/>
      <color indexed="62"/>
      <name val="Times New Roman"/>
      <family val="1"/>
      <charset val="204"/>
    </font>
    <font>
      <sz val="10"/>
      <name val="Arial"/>
      <family val="2"/>
      <charset val="204"/>
    </font>
    <font>
      <b/>
      <sz val="14"/>
      <color indexed="8"/>
      <name val="Times New Roman"/>
      <family val="1"/>
      <charset val="204"/>
    </font>
    <font>
      <sz val="8"/>
      <color indexed="8"/>
      <name val="Times New Roman"/>
      <family val="1"/>
      <charset val="204"/>
    </font>
    <font>
      <sz val="10"/>
      <name val="Times New Roman CYR"/>
      <charset val="204"/>
    </font>
    <font>
      <sz val="9"/>
      <name val="Times New Roman CYR"/>
      <charset val="204"/>
    </font>
    <font>
      <b/>
      <sz val="12.5"/>
      <name val="Times New Roman"/>
      <family val="1"/>
      <charset val="204"/>
    </font>
    <font>
      <sz val="12"/>
      <name val="Arial Cyr"/>
      <charset val="204"/>
    </font>
    <font>
      <sz val="12.5"/>
      <name val="Times New Roman"/>
      <family val="1"/>
      <charset val="204"/>
    </font>
    <font>
      <b/>
      <i/>
      <sz val="12.5"/>
      <name val="Times New Roman"/>
      <family val="1"/>
      <charset val="204"/>
    </font>
    <font>
      <b/>
      <i/>
      <sz val="10"/>
      <name val="Arial"/>
      <family val="2"/>
      <charset val="204"/>
    </font>
    <font>
      <b/>
      <sz val="36"/>
      <name val="Arial Cyr"/>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22"/>
      <name val="Times New Roman Cyr"/>
      <family val="1"/>
      <charset val="204"/>
    </font>
    <font>
      <sz val="10"/>
      <color theme="9"/>
      <name val="Arial"/>
      <family val="2"/>
      <charset val="204"/>
    </font>
    <font>
      <b/>
      <sz val="48"/>
      <name val="Times New Roman Cyr"/>
      <family val="1"/>
      <charset val="204"/>
    </font>
    <font>
      <sz val="48"/>
      <name val="Arial Cyr"/>
      <charset val="204"/>
    </font>
    <font>
      <sz val="36"/>
      <name val="Calibri"/>
      <family val="2"/>
      <charset val="204"/>
    </font>
    <font>
      <vertAlign val="superscript"/>
      <sz val="20"/>
      <name val="Times New Roman"/>
      <family val="1"/>
      <charset val="204"/>
    </font>
    <font>
      <sz val="20"/>
      <name val="Times New Roman"/>
      <family val="1"/>
      <charset val="204"/>
    </font>
    <font>
      <sz val="20"/>
      <name val="Arial Cyr"/>
      <charset val="204"/>
    </font>
    <font>
      <b/>
      <sz val="12"/>
      <color indexed="8"/>
      <name val="Times New Roman"/>
      <family val="1"/>
      <charset val="204"/>
    </font>
    <font>
      <sz val="12"/>
      <color indexed="8"/>
      <name val="Times New Roman"/>
      <family val="1"/>
      <charset val="204"/>
    </font>
    <font>
      <vertAlign val="superscript"/>
      <sz val="10"/>
      <name val="Times New Roman"/>
      <family val="1"/>
      <charset val="204"/>
    </font>
    <font>
      <sz val="10"/>
      <name val="Arial Cyr"/>
      <family val="2"/>
      <charset val="204"/>
    </font>
    <font>
      <sz val="36"/>
      <name val="Times New Roman Cyr"/>
      <family val="1"/>
      <charset val="204"/>
    </font>
    <font>
      <i/>
      <sz val="10"/>
      <name val="Times New Roman"/>
      <family val="1"/>
      <charset val="204"/>
    </font>
    <font>
      <sz val="50"/>
      <name val="Arial Cyr"/>
      <charset val="204"/>
    </font>
    <font>
      <sz val="11"/>
      <name val="Times New Roman Cyr"/>
      <family val="1"/>
      <charset val="204"/>
    </font>
    <font>
      <b/>
      <sz val="11"/>
      <name val="Times New Roman Cyr"/>
      <family val="1"/>
      <charset val="204"/>
    </font>
    <font>
      <i/>
      <sz val="11"/>
      <name val="Times New Roman Cyr"/>
      <family val="1"/>
      <charset val="204"/>
    </font>
    <font>
      <b/>
      <sz val="10"/>
      <name val="Times New Roman CYR"/>
      <charset val="204"/>
    </font>
    <font>
      <b/>
      <i/>
      <sz val="37"/>
      <name val="Arial Cyr"/>
      <charset val="204"/>
    </font>
    <font>
      <sz val="22"/>
      <name val="Times New Roman"/>
      <family val="1"/>
      <charset val="204"/>
    </font>
    <font>
      <sz val="36"/>
      <color indexed="8"/>
      <name val="Times New Roman"/>
      <family val="1"/>
      <charset val="204"/>
    </font>
    <font>
      <sz val="34"/>
      <name val="Times New Roman"/>
      <family val="1"/>
      <charset val="204"/>
    </font>
    <font>
      <sz val="14"/>
      <name val="Arial"/>
      <family val="2"/>
      <charset val="204"/>
    </font>
    <font>
      <sz val="32"/>
      <color indexed="8"/>
      <name val="Times New Roman"/>
      <family val="1"/>
      <charset val="204"/>
    </font>
    <font>
      <sz val="72"/>
      <name val="Arial Cyr"/>
      <charset val="204"/>
    </font>
    <font>
      <i/>
      <sz val="36"/>
      <name val="Arial Cyr"/>
      <charset val="204"/>
    </font>
    <font>
      <sz val="48"/>
      <name val="Times New Roman"/>
      <family val="1"/>
      <charset val="204"/>
    </font>
    <font>
      <sz val="12"/>
      <color theme="1"/>
      <name val="Times New Roman"/>
      <family val="1"/>
      <charset val="204"/>
    </font>
    <font>
      <b/>
      <sz val="14"/>
      <color rgb="FF000000"/>
      <name val="Times New Roman"/>
      <family val="1"/>
      <charset val="204"/>
    </font>
    <font>
      <sz val="11"/>
      <color rgb="FF000000"/>
      <name val="Times New Roman"/>
      <family val="1"/>
      <charset val="204"/>
    </font>
    <font>
      <sz val="10"/>
      <color rgb="FF000000"/>
      <name val="Times New Roman"/>
      <family val="1"/>
      <charset val="204"/>
    </font>
    <font>
      <b/>
      <sz val="12"/>
      <color rgb="FF000000"/>
      <name val="Arial Unicode MS"/>
      <family val="2"/>
      <charset val="204"/>
    </font>
    <font>
      <sz val="12"/>
      <color rgb="FF000000"/>
      <name val="Times New Roman"/>
      <family val="1"/>
      <charset val="204"/>
    </font>
    <font>
      <sz val="11"/>
      <color theme="1"/>
      <name val="Calibri"/>
      <family val="2"/>
      <charset val="204"/>
      <scheme val="minor"/>
    </font>
    <font>
      <i/>
      <sz val="11"/>
      <color theme="1"/>
      <name val="Times New Roman"/>
      <family val="1"/>
      <charset val="204"/>
    </font>
    <font>
      <i/>
      <sz val="37"/>
      <name val="Arial Cyr"/>
      <charset val="204"/>
    </font>
    <font>
      <i/>
      <sz val="48"/>
      <name val="Times New Roman"/>
      <family val="1"/>
      <charset val="204"/>
    </font>
    <font>
      <sz val="16"/>
      <name val="Times New Roman"/>
      <family val="1"/>
      <charset val="204"/>
    </font>
    <font>
      <b/>
      <sz val="72"/>
      <name val="Times New Roman"/>
      <family val="1"/>
      <charset val="204"/>
    </font>
    <font>
      <sz val="11"/>
      <color theme="1"/>
      <name val="Times New Roman"/>
      <family val="1"/>
      <charset val="204"/>
    </font>
  </fonts>
  <fills count="39">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rgb="FFFFFF00"/>
        <bgColor indexed="64"/>
      </patternFill>
    </fill>
    <fill>
      <patternFill patternType="solid">
        <fgColor rgb="FFFF0000"/>
        <bgColor indexed="64"/>
      </patternFill>
    </fill>
    <fill>
      <patternFill patternType="solid">
        <fgColor rgb="FFFF9900"/>
        <bgColor indexed="64"/>
      </patternFill>
    </fill>
    <fill>
      <gradientFill type="path" left="0.5" right="0.5" top="0.5" bottom="0.5">
        <stop position="0">
          <color theme="0"/>
        </stop>
        <stop position="1">
          <color theme="9" tint="0.80001220740379042"/>
        </stop>
      </gradientFill>
    </fill>
    <fill>
      <gradientFill type="path" left="0.5" right="0.5" top="0.5" bottom="0.5">
        <stop position="0">
          <color theme="0"/>
        </stop>
        <stop position="1">
          <color rgb="FFFFFFCC"/>
        </stop>
      </gradientFill>
    </fill>
    <fill>
      <patternFill patternType="solid">
        <fgColor rgb="FF66FFFF"/>
        <bgColor auto="1"/>
      </patternFill>
    </fill>
    <fill>
      <patternFill patternType="solid">
        <fgColor rgb="FFFFFFFF"/>
        <bgColor indexed="64"/>
      </patternFill>
    </fill>
    <fill>
      <gradientFill type="path" left="0.5" right="0.5" top="0.5" bottom="0.5">
        <stop position="0">
          <color theme="0"/>
        </stop>
        <stop position="1">
          <color rgb="FFCCFFCC"/>
        </stop>
      </gradientFill>
    </fill>
    <fill>
      <patternFill patternType="solid">
        <fgColor rgb="FFCCFFFF"/>
        <bgColor indexed="64"/>
      </patternFill>
    </fill>
    <fill>
      <gradientFill degree="270">
        <stop position="0">
          <color theme="0"/>
        </stop>
        <stop position="1">
          <color theme="9" tint="0.59999389629810485"/>
        </stop>
      </gradientFill>
    </fill>
    <fill>
      <patternFill patternType="solid">
        <fgColor rgb="FF66FFFF"/>
        <bgColor indexed="64"/>
      </patternFill>
    </fill>
    <fill>
      <gradientFill degree="270">
        <stop position="0">
          <color theme="0"/>
        </stop>
        <stop position="1">
          <color theme="3" tint="0.80001220740379042"/>
        </stop>
      </gradientFill>
    </fill>
    <fill>
      <patternFill patternType="solid">
        <fgColor theme="3" tint="0.79998168889431442"/>
        <bgColor auto="1"/>
      </patternFill>
    </fill>
    <fill>
      <gradientFill degree="90">
        <stop position="0">
          <color theme="0"/>
        </stop>
        <stop position="1">
          <color rgb="FFFFFF00"/>
        </stop>
      </gradientFill>
    </fill>
  </fills>
  <borders count="23">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s>
  <cellStyleXfs count="95">
    <xf numFmtId="0" fontId="0" fillId="0" borderId="0"/>
    <xf numFmtId="0" fontId="4"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 fillId="0" borderId="0"/>
    <xf numFmtId="0" fontId="50" fillId="0" borderId="0"/>
    <xf numFmtId="0" fontId="27" fillId="0" borderId="0"/>
    <xf numFmtId="0" fontId="4" fillId="0" borderId="0"/>
    <xf numFmtId="0" fontId="50" fillId="0" borderId="0"/>
    <xf numFmtId="0" fontId="4" fillId="0" borderId="0"/>
    <xf numFmtId="0" fontId="50" fillId="0" borderId="0"/>
    <xf numFmtId="0" fontId="27" fillId="0" borderId="0"/>
    <xf numFmtId="0" fontId="27" fillId="0" borderId="0"/>
    <xf numFmtId="0" fontId="27" fillId="0" borderId="0"/>
    <xf numFmtId="0" fontId="27" fillId="0" borderId="0"/>
    <xf numFmtId="0" fontId="27" fillId="0" borderId="0"/>
    <xf numFmtId="0" fontId="47" fillId="0" borderId="0">
      <alignment vertical="top"/>
    </xf>
    <xf numFmtId="0" fontId="21" fillId="5" borderId="5" applyNumberFormat="0" applyAlignment="0" applyProtection="0"/>
    <xf numFmtId="0" fontId="22" fillId="0" borderId="0" applyNumberFormat="0" applyFill="0" applyBorder="0" applyAlignment="0" applyProtection="0"/>
    <xf numFmtId="0" fontId="4" fillId="0" borderId="0"/>
    <xf numFmtId="0" fontId="50" fillId="0" borderId="0"/>
    <xf numFmtId="0" fontId="6" fillId="0" borderId="0"/>
    <xf numFmtId="0" fontId="68" fillId="0" borderId="0" applyNumberFormat="0" applyFont="0" applyFill="0" applyBorder="0" applyAlignment="0" applyProtection="0">
      <alignment vertical="top"/>
    </xf>
    <xf numFmtId="0" fontId="26" fillId="0" borderId="0"/>
    <xf numFmtId="0" fontId="5" fillId="0" borderId="0" applyNumberFormat="0" applyFont="0" applyFill="0" applyBorder="0" applyAlignment="0" applyProtection="0">
      <alignment vertical="top"/>
    </xf>
    <xf numFmtId="0" fontId="6" fillId="0" borderId="0"/>
    <xf numFmtId="0" fontId="26"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4" fillId="0" borderId="0"/>
    <xf numFmtId="0" fontId="81" fillId="7" borderId="0" applyNumberFormat="0" applyBorder="0" applyAlignment="0" applyProtection="0"/>
    <xf numFmtId="0" fontId="81" fillId="8" borderId="0" applyNumberFormat="0" applyBorder="0" applyAlignment="0" applyProtection="0"/>
    <xf numFmtId="0" fontId="81" fillId="9" borderId="0" applyNumberFormat="0" applyBorder="0" applyAlignment="0" applyProtection="0"/>
    <xf numFmtId="0" fontId="81" fillId="10" borderId="0" applyNumberFormat="0" applyBorder="0" applyAlignment="0" applyProtection="0"/>
    <xf numFmtId="0" fontId="81" fillId="3" borderId="0" applyNumberFormat="0" applyBorder="0" applyAlignment="0" applyProtection="0"/>
    <xf numFmtId="0" fontId="81" fillId="2" borderId="0" applyNumberFormat="0" applyBorder="0" applyAlignment="0" applyProtection="0"/>
    <xf numFmtId="0" fontId="81" fillId="11" borderId="0" applyNumberFormat="0" applyBorder="0" applyAlignment="0" applyProtection="0"/>
    <xf numFmtId="0" fontId="81" fillId="12" borderId="0" applyNumberFormat="0" applyBorder="0" applyAlignment="0" applyProtection="0"/>
    <xf numFmtId="0" fontId="81" fillId="13" borderId="0" applyNumberFormat="0" applyBorder="0" applyAlignment="0" applyProtection="0"/>
    <xf numFmtId="0" fontId="81" fillId="10" borderId="0" applyNumberFormat="0" applyBorder="0" applyAlignment="0" applyProtection="0"/>
    <xf numFmtId="0" fontId="81" fillId="11" borderId="0" applyNumberFormat="0" applyBorder="0" applyAlignment="0" applyProtection="0"/>
    <xf numFmtId="0" fontId="81" fillId="14" borderId="0" applyNumberFormat="0" applyBorder="0" applyAlignment="0" applyProtection="0"/>
    <xf numFmtId="0" fontId="82" fillId="15" borderId="0" applyNumberFormat="0" applyBorder="0" applyAlignment="0" applyProtection="0"/>
    <xf numFmtId="0" fontId="82" fillId="12" borderId="0" applyNumberFormat="0" applyBorder="0" applyAlignment="0" applyProtection="0"/>
    <xf numFmtId="0" fontId="82" fillId="13" borderId="0" applyNumberFormat="0" applyBorder="0" applyAlignment="0" applyProtection="0"/>
    <xf numFmtId="0" fontId="82" fillId="16"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19" borderId="0" applyNumberFormat="0" applyBorder="0" applyAlignment="0" applyProtection="0"/>
    <xf numFmtId="0" fontId="82" fillId="20" borderId="0" applyNumberFormat="0" applyBorder="0" applyAlignment="0" applyProtection="0"/>
    <xf numFmtId="0" fontId="82" fillId="21" borderId="0" applyNumberFormat="0" applyBorder="0" applyAlignment="0" applyProtection="0"/>
    <xf numFmtId="0" fontId="82" fillId="16" borderId="0" applyNumberFormat="0" applyBorder="0" applyAlignment="0" applyProtection="0"/>
    <xf numFmtId="0" fontId="82" fillId="17" borderId="0" applyNumberFormat="0" applyBorder="0" applyAlignment="0" applyProtection="0"/>
    <xf numFmtId="0" fontId="82" fillId="22" borderId="0" applyNumberFormat="0" applyBorder="0" applyAlignment="0" applyProtection="0"/>
    <xf numFmtId="0" fontId="17" fillId="2" borderId="1" applyNumberFormat="0" applyAlignment="0" applyProtection="0"/>
    <xf numFmtId="0" fontId="83" fillId="23" borderId="19" applyNumberFormat="0" applyAlignment="0" applyProtection="0"/>
    <xf numFmtId="0" fontId="84" fillId="23" borderId="1" applyNumberFormat="0" applyAlignment="0" applyProtection="0"/>
    <xf numFmtId="0" fontId="80" fillId="0" borderId="0" applyNumberFormat="0" applyFill="0" applyBorder="0" applyAlignment="0" applyProtection="0">
      <alignment vertical="top"/>
      <protection locked="0"/>
    </xf>
    <xf numFmtId="0" fontId="85" fillId="0" borderId="20"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86" fillId="4" borderId="0" applyNumberFormat="0" applyBorder="0" applyAlignment="0" applyProtection="0"/>
    <xf numFmtId="0" fontId="87" fillId="8" borderId="0" applyNumberFormat="0" applyBorder="0" applyAlignment="0" applyProtection="0"/>
    <xf numFmtId="0" fontId="88" fillId="0" borderId="0" applyNumberFormat="0" applyFill="0" applyBorder="0" applyAlignment="0" applyProtection="0"/>
    <xf numFmtId="0" fontId="81" fillId="24" borderId="21"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100" fillId="0" borderId="0"/>
    <xf numFmtId="0" fontId="4" fillId="0" borderId="0"/>
    <xf numFmtId="0" fontId="3"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cellStyleXfs>
  <cellXfs count="596">
    <xf numFmtId="0" fontId="0" fillId="0" borderId="0" xfId="0"/>
    <xf numFmtId="0" fontId="7" fillId="0" borderId="0" xfId="0" applyFont="1" applyAlignment="1">
      <alignment vertical="center"/>
    </xf>
    <xf numFmtId="0" fontId="9" fillId="0" borderId="0" xfId="0" applyFont="1"/>
    <xf numFmtId="4" fontId="7" fillId="0" borderId="0" xfId="0" applyNumberFormat="1" applyFont="1" applyAlignment="1">
      <alignment vertical="center"/>
    </xf>
    <xf numFmtId="4" fontId="8" fillId="0" borderId="0" xfId="0" applyNumberFormat="1" applyFont="1" applyAlignment="1">
      <alignment vertical="center"/>
    </xf>
    <xf numFmtId="0" fontId="8" fillId="0" borderId="0" xfId="0" applyFont="1" applyAlignment="1">
      <alignment vertical="center"/>
    </xf>
    <xf numFmtId="164" fontId="8" fillId="0" borderId="0" xfId="0" applyNumberFormat="1" applyFont="1" applyAlignment="1">
      <alignment horizontal="right" vertical="center" wrapText="1"/>
    </xf>
    <xf numFmtId="0" fontId="39" fillId="0" borderId="0" xfId="0" applyFont="1" applyAlignment="1">
      <alignment vertical="center"/>
    </xf>
    <xf numFmtId="0" fontId="38" fillId="0" borderId="0" xfId="0" applyFont="1" applyAlignment="1">
      <alignment horizontal="center" vertical="center"/>
    </xf>
    <xf numFmtId="0" fontId="39" fillId="0" borderId="0" xfId="0" applyFont="1" applyAlignment="1">
      <alignment horizontal="center" vertical="center"/>
    </xf>
    <xf numFmtId="0" fontId="39" fillId="0" borderId="0" xfId="0" applyFont="1" applyAlignment="1">
      <alignment horizontal="right" vertical="center"/>
    </xf>
    <xf numFmtId="49" fontId="38" fillId="0" borderId="7" xfId="0" applyNumberFormat="1" applyFont="1" applyBorder="1" applyAlignment="1">
      <alignment horizontal="center" vertical="center" wrapText="1"/>
    </xf>
    <xf numFmtId="4" fontId="39" fillId="0" borderId="0" xfId="0" applyNumberFormat="1" applyFont="1" applyAlignment="1">
      <alignment horizontal="center" vertical="center"/>
    </xf>
    <xf numFmtId="0" fontId="45" fillId="0" borderId="0" xfId="0" applyFont="1"/>
    <xf numFmtId="4" fontId="45" fillId="0" borderId="0" xfId="0" applyNumberFormat="1" applyFont="1"/>
    <xf numFmtId="0" fontId="10" fillId="0" borderId="0" xfId="35" applyFont="1"/>
    <xf numFmtId="0" fontId="6" fillId="0" borderId="0" xfId="35"/>
    <xf numFmtId="0" fontId="14" fillId="0" borderId="7" xfId="35" applyFont="1" applyBorder="1" applyAlignment="1">
      <alignment horizontal="center" vertical="center" wrapText="1"/>
    </xf>
    <xf numFmtId="0" fontId="30" fillId="0" borderId="7" xfId="35" applyFont="1" applyBorder="1" applyAlignment="1">
      <alignment horizontal="center" vertical="center" wrapText="1"/>
    </xf>
    <xf numFmtId="4" fontId="55" fillId="0" borderId="0" xfId="0" applyNumberFormat="1" applyFont="1" applyAlignment="1">
      <alignment vertical="center"/>
    </xf>
    <xf numFmtId="0" fontId="6" fillId="6" borderId="0" xfId="35" applyFill="1"/>
    <xf numFmtId="4" fontId="56" fillId="0" borderId="0" xfId="0" applyNumberFormat="1" applyFont="1" applyAlignment="1">
      <alignment vertical="center"/>
    </xf>
    <xf numFmtId="0" fontId="56" fillId="0" borderId="0" xfId="0" applyFont="1" applyAlignment="1">
      <alignment vertical="center"/>
    </xf>
    <xf numFmtId="0" fontId="57" fillId="0" borderId="0" xfId="0" applyFont="1" applyAlignment="1">
      <alignment vertical="center"/>
    </xf>
    <xf numFmtId="4" fontId="58" fillId="0" borderId="0" xfId="0" applyNumberFormat="1" applyFont="1" applyAlignment="1">
      <alignment vertical="center"/>
    </xf>
    <xf numFmtId="0" fontId="6" fillId="0" borderId="0" xfId="39"/>
    <xf numFmtId="0" fontId="29" fillId="0" borderId="0" xfId="39" applyFont="1" applyAlignment="1">
      <alignment horizontal="center" vertical="center"/>
    </xf>
    <xf numFmtId="0" fontId="15" fillId="0" borderId="11" xfId="39" applyFont="1" applyBorder="1" applyAlignment="1">
      <alignment vertical="center"/>
    </xf>
    <xf numFmtId="0" fontId="6" fillId="0" borderId="0" xfId="39" applyAlignment="1">
      <alignment vertical="center" wrapText="1"/>
    </xf>
    <xf numFmtId="0" fontId="14" fillId="0" borderId="7" xfId="39" applyFont="1" applyBorder="1" applyAlignment="1">
      <alignment horizontal="center" vertical="center" wrapText="1"/>
    </xf>
    <xf numFmtId="0" fontId="29" fillId="0" borderId="0" xfId="39" applyFont="1" applyAlignment="1">
      <alignment wrapText="1"/>
    </xf>
    <xf numFmtId="0" fontId="30" fillId="0" borderId="7" xfId="39" applyFont="1" applyBorder="1" applyAlignment="1">
      <alignment horizontal="center" vertical="center" wrapText="1"/>
    </xf>
    <xf numFmtId="0" fontId="30" fillId="0" borderId="7" xfId="39" applyFont="1" applyBorder="1" applyAlignment="1">
      <alignment horizontal="left" vertical="center" wrapText="1"/>
    </xf>
    <xf numFmtId="4" fontId="31" fillId="0" borderId="7" xfId="39" applyNumberFormat="1" applyFont="1" applyBorder="1" applyAlignment="1">
      <alignment vertical="center" wrapText="1"/>
    </xf>
    <xf numFmtId="0" fontId="30" fillId="0" borderId="0" xfId="39" applyFont="1" applyAlignment="1">
      <alignment wrapText="1"/>
    </xf>
    <xf numFmtId="0" fontId="29" fillId="0" borderId="7" xfId="39" applyFont="1" applyBorder="1" applyAlignment="1">
      <alignment horizontal="center" vertical="center" wrapText="1"/>
    </xf>
    <xf numFmtId="0" fontId="14" fillId="0" borderId="7" xfId="39" applyFont="1" applyBorder="1" applyAlignment="1">
      <alignment vertical="center" wrapText="1"/>
    </xf>
    <xf numFmtId="4" fontId="16" fillId="0" borderId="7" xfId="39" applyNumberFormat="1" applyFont="1" applyBorder="1" applyAlignment="1">
      <alignment vertical="center" wrapText="1"/>
    </xf>
    <xf numFmtId="4" fontId="32" fillId="0" borderId="7" xfId="39" applyNumberFormat="1" applyFont="1" applyBorder="1" applyAlignment="1">
      <alignment vertical="center" wrapText="1"/>
    </xf>
    <xf numFmtId="0" fontId="60" fillId="0" borderId="0" xfId="39" applyFont="1" applyAlignment="1">
      <alignment wrapText="1"/>
    </xf>
    <xf numFmtId="0" fontId="35" fillId="0" borderId="7" xfId="39" applyFont="1" applyBorder="1" applyAlignment="1">
      <alignment vertical="center" wrapText="1"/>
    </xf>
    <xf numFmtId="4" fontId="36" fillId="0" borderId="7" xfId="39" applyNumberFormat="1" applyFont="1" applyBorder="1" applyAlignment="1">
      <alignment vertical="center" wrapText="1"/>
    </xf>
    <xf numFmtId="0" fontId="60" fillId="0" borderId="7" xfId="39" applyFont="1" applyBorder="1" applyAlignment="1">
      <alignment horizontal="center" vertical="center" wrapText="1"/>
    </xf>
    <xf numFmtId="0" fontId="60" fillId="0" borderId="7" xfId="39" applyFont="1" applyBorder="1" applyAlignment="1">
      <alignment vertical="center" wrapText="1"/>
    </xf>
    <xf numFmtId="4" fontId="34" fillId="0" borderId="7" xfId="39" applyNumberFormat="1" applyFont="1" applyBorder="1" applyAlignment="1">
      <alignment vertical="center" wrapText="1"/>
    </xf>
    <xf numFmtId="4" fontId="30" fillId="0" borderId="7" xfId="39" applyNumberFormat="1" applyFont="1" applyBorder="1" applyAlignment="1">
      <alignment horizontal="right" vertical="center" wrapText="1"/>
    </xf>
    <xf numFmtId="4" fontId="29" fillId="0" borderId="7" xfId="39" applyNumberFormat="1" applyFont="1" applyBorder="1" applyAlignment="1">
      <alignment horizontal="right" vertical="center" wrapText="1"/>
    </xf>
    <xf numFmtId="0" fontId="60" fillId="0" borderId="7" xfId="37" applyFont="1" applyBorder="1" applyAlignment="1">
      <alignment horizontal="justify" vertical="top" wrapText="1"/>
    </xf>
    <xf numFmtId="4" fontId="29" fillId="0" borderId="7" xfId="39" applyNumberFormat="1" applyFont="1" applyBorder="1" applyAlignment="1">
      <alignment vertical="center" wrapText="1"/>
    </xf>
    <xf numFmtId="4" fontId="37" fillId="0" borderId="7" xfId="39" applyNumberFormat="1" applyFont="1" applyBorder="1" applyAlignment="1">
      <alignment vertical="center" wrapText="1"/>
    </xf>
    <xf numFmtId="0" fontId="6" fillId="0" borderId="0" xfId="39" applyAlignment="1">
      <alignment wrapText="1"/>
    </xf>
    <xf numFmtId="0" fontId="30" fillId="0" borderId="7" xfId="39" applyFont="1" applyBorder="1" applyAlignment="1">
      <alignment vertical="center" wrapText="1"/>
    </xf>
    <xf numFmtId="0" fontId="31" fillId="0" borderId="7" xfId="37" applyFont="1" applyBorder="1" applyAlignment="1">
      <alignment horizontal="justify" vertical="top" wrapText="1"/>
    </xf>
    <xf numFmtId="4" fontId="33" fillId="0" borderId="7" xfId="39" applyNumberFormat="1" applyFont="1" applyBorder="1" applyAlignment="1">
      <alignment vertical="center" wrapText="1"/>
    </xf>
    <xf numFmtId="0" fontId="34" fillId="0" borderId="7" xfId="37" applyFont="1" applyBorder="1" applyAlignment="1">
      <alignment horizontal="justify" vertical="top" wrapText="1"/>
    </xf>
    <xf numFmtId="0" fontId="60" fillId="0" borderId="13" xfId="37" applyFont="1" applyBorder="1" applyAlignment="1">
      <alignment horizontal="justify" vertical="top" wrapText="1"/>
    </xf>
    <xf numFmtId="0" fontId="61" fillId="0" borderId="7" xfId="37" applyFont="1" applyBorder="1" applyAlignment="1">
      <alignment horizontal="justify" vertical="top" wrapText="1"/>
    </xf>
    <xf numFmtId="0" fontId="62" fillId="0" borderId="7" xfId="37" applyFont="1" applyBorder="1" applyAlignment="1">
      <alignment horizontal="justify" vertical="top" wrapText="1"/>
    </xf>
    <xf numFmtId="0" fontId="35" fillId="0" borderId="7" xfId="39" applyFont="1" applyBorder="1" applyAlignment="1">
      <alignment horizontal="center" vertical="center" wrapText="1"/>
    </xf>
    <xf numFmtId="0" fontId="36" fillId="0" borderId="7" xfId="37" applyFont="1" applyBorder="1" applyAlignment="1">
      <alignment horizontal="justify" vertical="top" wrapText="1"/>
    </xf>
    <xf numFmtId="0" fontId="34" fillId="0" borderId="7" xfId="37" applyFont="1" applyBorder="1" applyAlignment="1">
      <alignment vertical="top" wrapText="1"/>
    </xf>
    <xf numFmtId="0" fontId="6" fillId="0" borderId="7" xfId="39" applyBorder="1" applyAlignment="1">
      <alignment vertical="center" wrapText="1"/>
    </xf>
    <xf numFmtId="0" fontId="63" fillId="0" borderId="0" xfId="39" applyFont="1" applyAlignment="1">
      <alignment wrapText="1"/>
    </xf>
    <xf numFmtId="0" fontId="62" fillId="0" borderId="7" xfId="39" applyFont="1" applyBorder="1" applyAlignment="1">
      <alignment horizontal="center" vertical="center" wrapText="1"/>
    </xf>
    <xf numFmtId="0" fontId="61" fillId="0" borderId="7" xfId="37" applyFont="1" applyBorder="1" applyAlignment="1">
      <alignment vertical="top" wrapText="1"/>
    </xf>
    <xf numFmtId="4" fontId="64" fillId="0" borderId="7" xfId="39" applyNumberFormat="1" applyFont="1" applyBorder="1" applyAlignment="1">
      <alignment vertical="center" wrapText="1"/>
    </xf>
    <xf numFmtId="0" fontId="65" fillId="0" borderId="7" xfId="37" applyFont="1" applyBorder="1" applyAlignment="1">
      <alignment horizontal="justify" vertical="top" wrapText="1"/>
    </xf>
    <xf numFmtId="0" fontId="66" fillId="0" borderId="7" xfId="37" applyFont="1" applyBorder="1" applyAlignment="1">
      <alignment horizontal="justify" vertical="top" wrapText="1"/>
    </xf>
    <xf numFmtId="0" fontId="29" fillId="0" borderId="7" xfId="39" applyFont="1" applyBorder="1" applyAlignment="1">
      <alignment vertical="center" wrapText="1"/>
    </xf>
    <xf numFmtId="0" fontId="67" fillId="0" borderId="7" xfId="37" applyFont="1" applyBorder="1" applyAlignment="1">
      <alignment horizontal="justify" vertical="top" wrapText="1"/>
    </xf>
    <xf numFmtId="0" fontId="14" fillId="0" borderId="7" xfId="37" applyFont="1" applyBorder="1" applyAlignment="1">
      <alignment horizontal="justify" vertical="top" wrapText="1"/>
    </xf>
    <xf numFmtId="0" fontId="12" fillId="0" borderId="7" xfId="37" applyFont="1" applyBorder="1" applyAlignment="1">
      <alignment horizontal="justify" vertical="top" wrapText="1"/>
    </xf>
    <xf numFmtId="0" fontId="62" fillId="0" borderId="7" xfId="0" applyFont="1" applyBorder="1" applyAlignment="1">
      <alignment horizontal="left" vertical="center" wrapText="1"/>
    </xf>
    <xf numFmtId="0" fontId="60" fillId="0" borderId="7" xfId="0" applyFont="1" applyBorder="1" applyAlignment="1">
      <alignment horizontal="left" vertical="center" wrapText="1"/>
    </xf>
    <xf numFmtId="0" fontId="6" fillId="0" borderId="7" xfId="39" applyBorder="1" applyAlignment="1">
      <alignment horizontal="center" vertical="center" wrapText="1"/>
    </xf>
    <xf numFmtId="0" fontId="59" fillId="0" borderId="7" xfId="39" applyFont="1" applyBorder="1" applyAlignment="1">
      <alignment vertical="center" wrapText="1"/>
    </xf>
    <xf numFmtId="0" fontId="11" fillId="0" borderId="0" xfId="39" applyFont="1"/>
    <xf numFmtId="2" fontId="6" fillId="0" borderId="0" xfId="39" applyNumberFormat="1"/>
    <xf numFmtId="4" fontId="6" fillId="0" borderId="0" xfId="39" applyNumberFormat="1"/>
    <xf numFmtId="0" fontId="16" fillId="0" borderId="0" xfId="0" applyFont="1"/>
    <xf numFmtId="0" fontId="15" fillId="0" borderId="7" xfId="0" applyFont="1" applyBorder="1" applyAlignment="1">
      <alignment horizontal="center" vertical="top" wrapText="1"/>
    </xf>
    <xf numFmtId="0" fontId="70" fillId="0" borderId="7" xfId="0" applyFont="1" applyBorder="1" applyAlignment="1">
      <alignment horizontal="center" vertical="top" wrapText="1"/>
    </xf>
    <xf numFmtId="4" fontId="14"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0" fontId="71" fillId="0" borderId="0" xfId="35" applyFont="1"/>
    <xf numFmtId="0" fontId="12" fillId="0" borderId="0" xfId="35" applyFont="1" applyAlignment="1">
      <alignment horizontal="center" vertical="center" wrapText="1"/>
    </xf>
    <xf numFmtId="0" fontId="15" fillId="0" borderId="0" xfId="35" applyFont="1" applyAlignment="1">
      <alignment horizontal="center" vertical="center" wrapText="1"/>
    </xf>
    <xf numFmtId="0" fontId="12" fillId="0" borderId="0" xfId="35" applyFont="1" applyAlignment="1">
      <alignment horizontal="center"/>
    </xf>
    <xf numFmtId="0" fontId="71" fillId="0" borderId="0" xfId="35" applyFont="1" applyAlignment="1">
      <alignment horizontal="center"/>
    </xf>
    <xf numFmtId="0" fontId="15" fillId="0" borderId="0" xfId="35" applyFont="1" applyAlignment="1">
      <alignment horizontal="right"/>
    </xf>
    <xf numFmtId="0" fontId="71" fillId="0" borderId="15" xfId="35" applyFont="1" applyBorder="1"/>
    <xf numFmtId="0" fontId="71" fillId="0" borderId="16" xfId="35" applyFont="1" applyBorder="1"/>
    <xf numFmtId="0" fontId="60" fillId="0" borderId="0" xfId="35" applyFont="1"/>
    <xf numFmtId="0" fontId="72" fillId="0" borderId="0" xfId="35" applyFont="1"/>
    <xf numFmtId="0" fontId="73" fillId="0" borderId="0" xfId="36" applyFont="1">
      <alignment vertical="top"/>
    </xf>
    <xf numFmtId="0" fontId="68" fillId="0" borderId="0" xfId="36">
      <alignment vertical="top"/>
    </xf>
    <xf numFmtId="0" fontId="73" fillId="0" borderId="0" xfId="36" applyFont="1" applyAlignment="1">
      <alignment horizontal="center" vertical="top"/>
    </xf>
    <xf numFmtId="0" fontId="11" fillId="0" borderId="0" xfId="36" applyFont="1" applyAlignment="1">
      <alignment horizontal="center" vertical="top"/>
    </xf>
    <xf numFmtId="2" fontId="68" fillId="0" borderId="0" xfId="36" applyNumberFormat="1" applyAlignment="1">
      <alignment horizontal="center" vertical="top"/>
    </xf>
    <xf numFmtId="2" fontId="73" fillId="0" borderId="7" xfId="36" applyNumberFormat="1" applyFont="1" applyBorder="1" applyAlignment="1">
      <alignment horizontal="center" vertical="center"/>
    </xf>
    <xf numFmtId="2" fontId="11" fillId="0" borderId="0" xfId="36" applyNumberFormat="1" applyFont="1" applyAlignment="1">
      <alignment horizontal="center" vertical="top"/>
    </xf>
    <xf numFmtId="2" fontId="10" fillId="0" borderId="7" xfId="36" applyNumberFormat="1" applyFont="1" applyBorder="1" applyAlignment="1">
      <alignment horizontal="center" vertical="center" wrapText="1"/>
    </xf>
    <xf numFmtId="0" fontId="75" fillId="0" borderId="0" xfId="36" applyFont="1" applyAlignment="1">
      <alignment horizontal="center" vertical="top" wrapText="1"/>
    </xf>
    <xf numFmtId="2" fontId="75" fillId="0" borderId="0" xfId="36" applyNumberFormat="1" applyFont="1" applyAlignment="1">
      <alignment horizontal="center" vertical="top" wrapText="1"/>
    </xf>
    <xf numFmtId="165" fontId="10" fillId="0" borderId="0" xfId="36" applyNumberFormat="1" applyFont="1" applyAlignment="1">
      <alignment horizontal="center" vertical="top"/>
    </xf>
    <xf numFmtId="0" fontId="77" fillId="0" borderId="0" xfId="38" applyFont="1" applyAlignment="1" applyProtection="1">
      <alignment horizontal="left" vertical="center" wrapText="1"/>
      <protection locked="0"/>
    </xf>
    <xf numFmtId="0" fontId="75" fillId="0" borderId="0" xfId="36" applyFont="1" applyAlignment="1">
      <alignment horizontal="left" vertical="top" wrapText="1"/>
    </xf>
    <xf numFmtId="0" fontId="79" fillId="0" borderId="0" xfId="0" applyFont="1"/>
    <xf numFmtId="0" fontId="13" fillId="0" borderId="0" xfId="39" applyFont="1"/>
    <xf numFmtId="0" fontId="14" fillId="0" borderId="7" xfId="0" applyFont="1" applyBorder="1" applyAlignment="1">
      <alignment horizontal="left" vertical="center" wrapText="1"/>
    </xf>
    <xf numFmtId="0" fontId="89" fillId="0" borderId="0" xfId="0" applyFont="1" applyAlignment="1">
      <alignment vertical="center"/>
    </xf>
    <xf numFmtId="2" fontId="90" fillId="0" borderId="0" xfId="36" applyNumberFormat="1" applyFont="1" applyAlignment="1">
      <alignment horizontal="center" vertical="top"/>
    </xf>
    <xf numFmtId="4" fontId="6" fillId="0" borderId="0" xfId="35" applyNumberFormat="1"/>
    <xf numFmtId="4" fontId="91" fillId="0" borderId="0" xfId="0" applyNumberFormat="1" applyFont="1" applyAlignment="1">
      <alignment vertical="center"/>
    </xf>
    <xf numFmtId="4" fontId="92" fillId="0" borderId="0" xfId="0" applyNumberFormat="1" applyFont="1" applyAlignment="1">
      <alignment vertical="center"/>
    </xf>
    <xf numFmtId="0" fontId="94" fillId="0" borderId="0" xfId="0" applyFont="1" applyAlignment="1">
      <alignment horizontal="left" vertical="center"/>
    </xf>
    <xf numFmtId="0" fontId="96" fillId="0" borderId="0" xfId="0" applyFont="1" applyAlignment="1">
      <alignment horizontal="left" vertical="center"/>
    </xf>
    <xf numFmtId="0" fontId="53" fillId="0" borderId="0" xfId="0" applyFont="1"/>
    <xf numFmtId="0" fontId="6" fillId="0" borderId="0" xfId="0" applyFont="1"/>
    <xf numFmtId="0" fontId="97" fillId="0" borderId="7" xfId="0" applyFont="1" applyBorder="1" applyAlignment="1">
      <alignment horizontal="center" vertical="center" wrapText="1"/>
    </xf>
    <xf numFmtId="0" fontId="11" fillId="0" borderId="7" xfId="35" applyFont="1" applyBorder="1" applyAlignment="1">
      <alignment horizontal="center" vertical="center" wrapText="1"/>
    </xf>
    <xf numFmtId="0" fontId="97" fillId="0" borderId="7" xfId="0" applyFont="1" applyBorder="1" applyAlignment="1">
      <alignment horizontal="center" vertical="center"/>
    </xf>
    <xf numFmtId="4" fontId="97" fillId="25" borderId="7" xfId="0" applyNumberFormat="1" applyFont="1" applyFill="1" applyBorder="1" applyAlignment="1">
      <alignment horizontal="center" vertical="center"/>
    </xf>
    <xf numFmtId="0" fontId="10" fillId="0" borderId="0" xfId="0" applyFont="1"/>
    <xf numFmtId="2" fontId="10" fillId="0" borderId="0" xfId="36" applyNumberFormat="1" applyFont="1">
      <alignment vertical="top"/>
    </xf>
    <xf numFmtId="0" fontId="97" fillId="0" borderId="0" xfId="0" applyFont="1" applyAlignment="1">
      <alignment horizontal="center" vertical="center"/>
    </xf>
    <xf numFmtId="4" fontId="97" fillId="0" borderId="0" xfId="0" applyNumberFormat="1" applyFont="1" applyAlignment="1">
      <alignment horizontal="center" vertical="center"/>
    </xf>
    <xf numFmtId="4" fontId="101" fillId="0" borderId="0" xfId="0" applyNumberFormat="1" applyFont="1" applyAlignment="1">
      <alignment vertical="center"/>
    </xf>
    <xf numFmtId="0" fontId="11" fillId="0" borderId="7" xfId="37" applyFont="1" applyBorder="1" applyAlignment="1">
      <alignment horizontal="justify" vertical="top" wrapText="1"/>
    </xf>
    <xf numFmtId="0" fontId="29" fillId="0" borderId="7" xfId="37" applyFont="1" applyBorder="1" applyAlignment="1">
      <alignment horizontal="justify" vertical="top" wrapText="1"/>
    </xf>
    <xf numFmtId="0" fontId="14" fillId="0" borderId="7" xfId="0" applyFont="1" applyBorder="1" applyAlignment="1">
      <alignment horizontal="center" vertical="center" wrapText="1"/>
    </xf>
    <xf numFmtId="4" fontId="9" fillId="0" borderId="0" xfId="0" applyNumberFormat="1" applyFont="1"/>
    <xf numFmtId="0" fontId="6" fillId="26" borderId="0" xfId="35" applyFill="1"/>
    <xf numFmtId="0" fontId="6" fillId="0" borderId="0" xfId="35" applyAlignment="1">
      <alignment horizontal="center" vertical="center"/>
    </xf>
    <xf numFmtId="0" fontId="102" fillId="0" borderId="0" xfId="35" applyFont="1"/>
    <xf numFmtId="4" fontId="78" fillId="0" borderId="0" xfId="0" applyNumberFormat="1" applyFont="1" applyAlignment="1">
      <alignment horizontal="left" vertical="center"/>
    </xf>
    <xf numFmtId="4" fontId="41" fillId="29" borderId="7" xfId="0" applyNumberFormat="1" applyFont="1" applyFill="1" applyBorder="1" applyAlignment="1">
      <alignment horizontal="center" vertical="center"/>
    </xf>
    <xf numFmtId="0" fontId="30" fillId="29" borderId="7" xfId="35" applyFont="1" applyFill="1" applyBorder="1" applyAlignment="1">
      <alignment horizontal="center" vertical="center" wrapText="1"/>
    </xf>
    <xf numFmtId="4" fontId="31" fillId="29" borderId="7" xfId="35" applyNumberFormat="1" applyFont="1" applyFill="1" applyBorder="1" applyAlignment="1">
      <alignment horizontal="center" vertical="center"/>
    </xf>
    <xf numFmtId="2" fontId="68" fillId="29" borderId="7" xfId="36" applyNumberFormat="1" applyFill="1" applyBorder="1" applyAlignment="1">
      <alignment horizontal="center" vertical="center" wrapText="1"/>
    </xf>
    <xf numFmtId="4" fontId="76" fillId="29" borderId="7" xfId="36" applyNumberFormat="1" applyFont="1" applyFill="1" applyBorder="1" applyAlignment="1">
      <alignment horizontal="center" vertical="center"/>
    </xf>
    <xf numFmtId="2" fontId="10" fillId="29" borderId="7" xfId="36" applyNumberFormat="1" applyFont="1" applyFill="1" applyBorder="1" applyAlignment="1">
      <alignment horizontal="center" vertical="center" wrapText="1"/>
    </xf>
    <xf numFmtId="4" fontId="76" fillId="29" borderId="7" xfId="36" applyNumberFormat="1" applyFont="1" applyFill="1" applyBorder="1" applyAlignment="1">
      <alignment horizontal="center" vertical="center" wrapText="1"/>
    </xf>
    <xf numFmtId="4" fontId="97" fillId="29" borderId="7" xfId="0" applyNumberFormat="1" applyFont="1" applyFill="1" applyBorder="1" applyAlignment="1">
      <alignment horizontal="center" vertical="center"/>
    </xf>
    <xf numFmtId="4" fontId="39" fillId="0" borderId="0" xfId="0" applyNumberFormat="1" applyFont="1" applyAlignment="1">
      <alignment horizontal="left" vertical="center"/>
    </xf>
    <xf numFmtId="4" fontId="41" fillId="27" borderId="0" xfId="0" applyNumberFormat="1" applyFont="1" applyFill="1" applyAlignment="1">
      <alignment horizontal="center" vertical="center" wrapText="1"/>
    </xf>
    <xf numFmtId="4" fontId="41" fillId="27" borderId="0" xfId="0" applyNumberFormat="1" applyFont="1" applyFill="1" applyAlignment="1">
      <alignment horizontal="left" vertical="center" wrapText="1"/>
    </xf>
    <xf numFmtId="0" fontId="6" fillId="28" borderId="0" xfId="35" applyFill="1"/>
    <xf numFmtId="0" fontId="48" fillId="0" borderId="7" xfId="39" applyFont="1" applyBorder="1" applyAlignment="1">
      <alignment horizontal="center" vertical="center" wrapText="1"/>
    </xf>
    <xf numFmtId="0" fontId="48" fillId="0" borderId="0" xfId="39" applyFont="1" applyAlignment="1">
      <alignment wrapText="1"/>
    </xf>
    <xf numFmtId="0" fontId="103" fillId="0" borderId="0" xfId="0" applyFont="1"/>
    <xf numFmtId="164" fontId="32" fillId="0" borderId="7" xfId="30" applyNumberFormat="1" applyFont="1" applyBorder="1" applyAlignment="1">
      <alignment horizontal="center" vertical="center" wrapText="1"/>
    </xf>
    <xf numFmtId="0" fontId="98" fillId="0" borderId="7" xfId="0" applyFont="1" applyBorder="1" applyAlignment="1">
      <alignment horizontal="center" vertical="center"/>
    </xf>
    <xf numFmtId="0" fontId="98" fillId="0" borderId="7" xfId="0" applyFont="1" applyBorder="1" applyAlignment="1">
      <alignment horizontal="left" vertical="center" wrapText="1"/>
    </xf>
    <xf numFmtId="4" fontId="98" fillId="0" borderId="7" xfId="0" applyNumberFormat="1" applyFont="1" applyBorder="1" applyAlignment="1">
      <alignment horizontal="center" vertical="center"/>
    </xf>
    <xf numFmtId="0" fontId="10" fillId="0" borderId="7" xfId="0" applyFont="1" applyBorder="1" applyAlignment="1">
      <alignment horizontal="left" vertical="center" wrapText="1"/>
    </xf>
    <xf numFmtId="0" fontId="43" fillId="0" borderId="0" xfId="0" applyFont="1"/>
    <xf numFmtId="0" fontId="29" fillId="0" borderId="0" xfId="35" applyFont="1" applyAlignment="1">
      <alignment horizontal="center" vertical="center" wrapText="1"/>
    </xf>
    <xf numFmtId="4" fontId="30" fillId="0" borderId="0" xfId="35" applyNumberFormat="1" applyFont="1" applyAlignment="1">
      <alignment horizontal="center" vertical="center"/>
    </xf>
    <xf numFmtId="0" fontId="104" fillId="0" borderId="0" xfId="0" applyFont="1" applyAlignment="1">
      <alignment vertical="center"/>
    </xf>
    <xf numFmtId="4" fontId="105" fillId="0" borderId="0" xfId="0" applyNumberFormat="1" applyFont="1" applyAlignment="1">
      <alignment vertical="center"/>
    </xf>
    <xf numFmtId="4" fontId="106" fillId="0" borderId="0" xfId="0" applyNumberFormat="1" applyFont="1" applyAlignment="1">
      <alignment vertical="center"/>
    </xf>
    <xf numFmtId="0" fontId="106" fillId="0" borderId="0" xfId="0" applyFont="1" applyAlignment="1">
      <alignment vertical="center"/>
    </xf>
    <xf numFmtId="4" fontId="104" fillId="0" borderId="0" xfId="0" applyNumberFormat="1" applyFont="1" applyAlignment="1">
      <alignment vertical="center"/>
    </xf>
    <xf numFmtId="0" fontId="105" fillId="0" borderId="0" xfId="0" applyFont="1" applyAlignment="1">
      <alignment vertical="center"/>
    </xf>
    <xf numFmtId="0" fontId="51" fillId="0" borderId="0" xfId="35" applyFont="1"/>
    <xf numFmtId="0" fontId="98" fillId="0" borderId="0" xfId="0" applyFont="1" applyAlignment="1">
      <alignment horizontal="center" vertical="center"/>
    </xf>
    <xf numFmtId="4" fontId="98" fillId="0" borderId="0" xfId="0" applyNumberFormat="1" applyFont="1" applyAlignment="1">
      <alignment horizontal="center" vertical="center"/>
    </xf>
    <xf numFmtId="4" fontId="98" fillId="0" borderId="0" xfId="0" applyNumberFormat="1" applyFont="1" applyAlignment="1">
      <alignment horizontal="left" vertical="center"/>
    </xf>
    <xf numFmtId="0" fontId="98" fillId="0" borderId="0" xfId="0" applyFont="1" applyAlignment="1">
      <alignment horizontal="right" vertical="center"/>
    </xf>
    <xf numFmtId="2" fontId="13" fillId="0" borderId="0" xfId="36" applyNumberFormat="1" applyFont="1">
      <alignment vertical="top"/>
    </xf>
    <xf numFmtId="0" fontId="13" fillId="0" borderId="0" xfId="36" applyFont="1">
      <alignment vertical="top"/>
    </xf>
    <xf numFmtId="0" fontId="10" fillId="0" borderId="0" xfId="39" applyFont="1"/>
    <xf numFmtId="0" fontId="62" fillId="0" borderId="7" xfId="39" applyFont="1" applyBorder="1" applyAlignment="1">
      <alignment vertical="center" wrapText="1"/>
    </xf>
    <xf numFmtId="0" fontId="37" fillId="0" borderId="0" xfId="0" applyFont="1" applyAlignment="1">
      <alignment horizontal="right"/>
    </xf>
    <xf numFmtId="164" fontId="7" fillId="0" borderId="0" xfId="0" applyNumberFormat="1" applyFont="1" applyAlignment="1">
      <alignment horizontal="right" vertical="center" wrapText="1"/>
    </xf>
    <xf numFmtId="0" fontId="101" fillId="0" borderId="0" xfId="0" applyFont="1" applyAlignment="1">
      <alignment vertical="center"/>
    </xf>
    <xf numFmtId="0" fontId="6" fillId="0" borderId="11" xfId="35" applyBorder="1" applyAlignment="1">
      <alignment horizontal="right" vertical="center"/>
    </xf>
    <xf numFmtId="0" fontId="30" fillId="29" borderId="7" xfId="35" applyFont="1" applyFill="1" applyBorder="1" applyAlignment="1">
      <alignment horizontal="left" vertical="center" wrapText="1"/>
    </xf>
    <xf numFmtId="0" fontId="38" fillId="29" borderId="7" xfId="0" applyFont="1" applyFill="1" applyBorder="1" applyAlignment="1">
      <alignment horizontal="center" vertical="center"/>
    </xf>
    <xf numFmtId="0" fontId="38" fillId="29" borderId="7" xfId="0" applyFont="1" applyFill="1" applyBorder="1" applyAlignment="1">
      <alignment horizontal="left" vertical="center"/>
    </xf>
    <xf numFmtId="0" fontId="107" fillId="0" borderId="7" xfId="35" applyFont="1" applyBorder="1" applyAlignment="1">
      <alignment horizontal="center" vertical="center" wrapText="1"/>
    </xf>
    <xf numFmtId="0" fontId="14" fillId="0" borderId="7" xfId="0" applyFont="1" applyBorder="1" applyAlignment="1">
      <alignment horizontal="center" vertical="center"/>
    </xf>
    <xf numFmtId="0" fontId="10" fillId="0" borderId="0" xfId="36" applyFont="1" applyAlignment="1">
      <alignment horizontal="right" vertical="top"/>
    </xf>
    <xf numFmtId="0" fontId="38" fillId="0" borderId="7" xfId="0" applyFont="1" applyBorder="1" applyAlignment="1">
      <alignment horizontal="center" vertical="center" wrapText="1"/>
    </xf>
    <xf numFmtId="4" fontId="44" fillId="28" borderId="9" xfId="0" applyNumberFormat="1" applyFont="1" applyFill="1" applyBorder="1" applyAlignment="1">
      <alignment horizontal="center" vertical="center" wrapText="1"/>
    </xf>
    <xf numFmtId="0" fontId="108" fillId="0" borderId="0" xfId="0" applyFont="1" applyAlignment="1">
      <alignment horizontal="center" vertical="center"/>
    </xf>
    <xf numFmtId="49" fontId="29" fillId="0" borderId="7" xfId="35" applyNumberFormat="1" applyFont="1" applyBorder="1" applyAlignment="1">
      <alignment horizontal="center" vertical="center" wrapText="1"/>
    </xf>
    <xf numFmtId="0" fontId="29" fillId="0" borderId="7" xfId="35" applyFont="1" applyBorder="1" applyAlignment="1">
      <alignment horizontal="center" vertical="center" wrapText="1"/>
    </xf>
    <xf numFmtId="4" fontId="29" fillId="0" borderId="7" xfId="35" applyNumberFormat="1" applyFont="1" applyBorder="1" applyAlignment="1">
      <alignment horizontal="center" vertical="center"/>
    </xf>
    <xf numFmtId="49" fontId="30" fillId="0" borderId="7" xfId="35" applyNumberFormat="1" applyFont="1" applyBorder="1" applyAlignment="1">
      <alignment horizontal="center" vertical="center" wrapText="1"/>
    </xf>
    <xf numFmtId="49" fontId="30" fillId="0" borderId="7" xfId="0" applyNumberFormat="1" applyFont="1" applyBorder="1" applyAlignment="1">
      <alignment horizontal="center" vertical="center" wrapText="1"/>
    </xf>
    <xf numFmtId="4" fontId="30" fillId="0" borderId="7" xfId="35" applyNumberFormat="1" applyFont="1" applyBorder="1" applyAlignment="1">
      <alignment horizontal="center" vertical="center"/>
    </xf>
    <xf numFmtId="49" fontId="48" fillId="0" borderId="7" xfId="35" applyNumberFormat="1" applyFont="1" applyBorder="1" applyAlignment="1">
      <alignment horizontal="center" vertical="center" wrapText="1"/>
    </xf>
    <xf numFmtId="49" fontId="48" fillId="0" borderId="7" xfId="0" applyNumberFormat="1" applyFont="1" applyBorder="1" applyAlignment="1">
      <alignment horizontal="center" vertical="center" wrapText="1"/>
    </xf>
    <xf numFmtId="4" fontId="48" fillId="0" borderId="7" xfId="35" applyNumberFormat="1" applyFont="1" applyBorder="1" applyAlignment="1">
      <alignment horizontal="center" vertical="center"/>
    </xf>
    <xf numFmtId="2" fontId="11" fillId="0" borderId="0" xfId="38" applyNumberFormat="1" applyFont="1" applyAlignment="1" applyProtection="1">
      <alignment vertical="center" wrapText="1"/>
      <protection locked="0"/>
    </xf>
    <xf numFmtId="2" fontId="109" fillId="0" borderId="0" xfId="0" applyNumberFormat="1" applyFont="1" applyAlignment="1">
      <alignment horizontal="center" vertical="center"/>
    </xf>
    <xf numFmtId="0" fontId="79" fillId="0" borderId="0" xfId="0" applyFont="1" applyAlignment="1">
      <alignment horizontal="center" vertical="center"/>
    </xf>
    <xf numFmtId="4" fontId="41" fillId="30" borderId="7" xfId="0" applyNumberFormat="1" applyFont="1" applyFill="1" applyBorder="1" applyAlignment="1">
      <alignment horizontal="center" vertical="center"/>
    </xf>
    <xf numFmtId="49" fontId="10" fillId="0" borderId="7" xfId="0" applyNumberFormat="1" applyFont="1" applyBorder="1" applyAlignment="1">
      <alignment horizontal="center" vertical="center" wrapText="1"/>
    </xf>
    <xf numFmtId="2" fontId="112" fillId="0" borderId="0" xfId="36" applyNumberFormat="1" applyFont="1" applyAlignment="1">
      <alignment horizontal="center" vertical="top"/>
    </xf>
    <xf numFmtId="0" fontId="11" fillId="0" borderId="7" xfId="39" applyFont="1" applyBorder="1" applyAlignment="1">
      <alignment horizontal="center" vertical="center" wrapText="1"/>
    </xf>
    <xf numFmtId="0" fontId="6" fillId="0" borderId="0" xfId="0" applyFont="1" applyAlignment="1">
      <alignment horizontal="left" vertical="center" wrapText="1"/>
    </xf>
    <xf numFmtId="0" fontId="69" fillId="0" borderId="0" xfId="0" applyFont="1" applyAlignment="1">
      <alignment horizontal="center"/>
    </xf>
    <xf numFmtId="0" fontId="61" fillId="0" borderId="7" xfId="0" applyFont="1" applyBorder="1" applyAlignment="1">
      <alignment horizontal="center" vertical="center" wrapText="1"/>
    </xf>
    <xf numFmtId="0" fontId="4" fillId="0" borderId="0" xfId="0" applyFont="1"/>
    <xf numFmtId="4" fontId="4" fillId="0" borderId="0" xfId="0" applyNumberFormat="1" applyFont="1"/>
    <xf numFmtId="4" fontId="6" fillId="0" borderId="7" xfId="0" applyNumberFormat="1" applyFont="1" applyBorder="1" applyAlignment="1">
      <alignment horizontal="center" vertical="center" wrapText="1"/>
    </xf>
    <xf numFmtId="0" fontId="114" fillId="0" borderId="0" xfId="0" applyFont="1"/>
    <xf numFmtId="0" fontId="114" fillId="0" borderId="0" xfId="36" applyFont="1">
      <alignment vertical="top"/>
    </xf>
    <xf numFmtId="0" fontId="114" fillId="0" borderId="0" xfId="35" applyFont="1"/>
    <xf numFmtId="0" fontId="43" fillId="0" borderId="0" xfId="36" applyFont="1">
      <alignment vertical="top"/>
    </xf>
    <xf numFmtId="0" fontId="43" fillId="0" borderId="0" xfId="35" applyFont="1" applyAlignment="1">
      <alignment horizontal="center" vertical="center"/>
    </xf>
    <xf numFmtId="0" fontId="43" fillId="0" borderId="0" xfId="35" applyFont="1"/>
    <xf numFmtId="4" fontId="115" fillId="0" borderId="0" xfId="0" applyNumberFormat="1" applyFont="1" applyAlignment="1">
      <alignment horizontal="center" vertical="center"/>
    </xf>
    <xf numFmtId="4" fontId="116" fillId="0" borderId="0" xfId="0" applyNumberFormat="1" applyFont="1" applyAlignment="1">
      <alignment vertical="center"/>
    </xf>
    <xf numFmtId="0" fontId="117" fillId="0" borderId="0" xfId="86" applyFont="1" applyAlignment="1">
      <alignment vertical="center"/>
    </xf>
    <xf numFmtId="0" fontId="3" fillId="0" borderId="0" xfId="86"/>
    <xf numFmtId="0" fontId="117" fillId="0" borderId="0" xfId="86" applyFont="1" applyAlignment="1">
      <alignment horizontal="center" vertical="center" wrapText="1"/>
    </xf>
    <xf numFmtId="0" fontId="119" fillId="0" borderId="7" xfId="86" applyFont="1" applyBorder="1" applyAlignment="1">
      <alignment horizontal="center" vertical="center" wrapText="1"/>
    </xf>
    <xf numFmtId="0" fontId="120" fillId="0" borderId="7" xfId="86" applyFont="1" applyBorder="1" applyAlignment="1">
      <alignment horizontal="center" vertical="center" wrapText="1"/>
    </xf>
    <xf numFmtId="49" fontId="117" fillId="0" borderId="7" xfId="86" applyNumberFormat="1" applyFont="1" applyBorder="1" applyAlignment="1">
      <alignment horizontal="center" vertical="center" wrapText="1"/>
    </xf>
    <xf numFmtId="0" fontId="117" fillId="0" borderId="7" xfId="86" applyFont="1" applyBorder="1" applyAlignment="1">
      <alignment horizontal="center" vertical="center" wrapText="1"/>
    </xf>
    <xf numFmtId="166" fontId="117" fillId="0" borderId="7" xfId="86" applyNumberFormat="1" applyFont="1" applyBorder="1" applyAlignment="1">
      <alignment horizontal="center" vertical="center" wrapText="1"/>
    </xf>
    <xf numFmtId="0" fontId="121" fillId="0" borderId="7" xfId="86" applyFont="1" applyBorder="1" applyAlignment="1">
      <alignment horizontal="center" vertical="center" wrapText="1"/>
    </xf>
    <xf numFmtId="0" fontId="122" fillId="0" borderId="7" xfId="86" applyFont="1" applyBorder="1" applyAlignment="1">
      <alignment horizontal="center" vertical="center" wrapText="1"/>
    </xf>
    <xf numFmtId="0" fontId="123" fillId="0" borderId="0" xfId="86" applyFont="1" applyAlignment="1">
      <alignment vertical="center"/>
    </xf>
    <xf numFmtId="0" fontId="29" fillId="0" borderId="0" xfId="35" applyFont="1"/>
    <xf numFmtId="0" fontId="98" fillId="0" borderId="17" xfId="0" applyFont="1" applyBorder="1" applyAlignment="1">
      <alignment horizontal="center" vertical="center"/>
    </xf>
    <xf numFmtId="0" fontId="10" fillId="0" borderId="14" xfId="0" applyFont="1" applyBorder="1" applyAlignment="1">
      <alignment horizontal="left" vertical="center" wrapText="1"/>
    </xf>
    <xf numFmtId="4" fontId="78" fillId="0" borderId="0" xfId="0" applyNumberFormat="1" applyFont="1" applyAlignment="1">
      <alignment horizontal="left"/>
    </xf>
    <xf numFmtId="0" fontId="125" fillId="0" borderId="0" xfId="0" applyFont="1" applyAlignment="1">
      <alignment horizontal="center" vertical="center"/>
    </xf>
    <xf numFmtId="4" fontId="42" fillId="0" borderId="0" xfId="0" applyNumberFormat="1" applyFont="1" applyAlignment="1">
      <alignment horizontal="center" vertical="center" wrapText="1"/>
    </xf>
    <xf numFmtId="164" fontId="32" fillId="0" borderId="0" xfId="30" applyNumberFormat="1" applyFont="1" applyAlignment="1">
      <alignment horizontal="center" vertical="center" wrapText="1"/>
    </xf>
    <xf numFmtId="0" fontId="6" fillId="0" borderId="7" xfId="35" applyBorder="1"/>
    <xf numFmtId="0" fontId="6" fillId="32" borderId="0" xfId="35" applyFill="1"/>
    <xf numFmtId="4" fontId="43" fillId="0" borderId="0" xfId="0" applyNumberFormat="1" applyFont="1" applyAlignment="1">
      <alignment horizontal="center" vertical="center" wrapText="1"/>
    </xf>
    <xf numFmtId="4" fontId="44" fillId="28" borderId="22" xfId="0" applyNumberFormat="1" applyFont="1" applyFill="1" applyBorder="1" applyAlignment="1">
      <alignment horizontal="center" vertical="center" wrapText="1"/>
    </xf>
    <xf numFmtId="4" fontId="126" fillId="0" borderId="0" xfId="0" applyNumberFormat="1" applyFont="1" applyAlignment="1">
      <alignment horizontal="left" vertical="center"/>
    </xf>
    <xf numFmtId="4" fontId="108" fillId="0" borderId="0" xfId="0" applyNumberFormat="1" applyFont="1" applyAlignment="1">
      <alignment horizontal="center" vertical="center"/>
    </xf>
    <xf numFmtId="0" fontId="127" fillId="0" borderId="0" xfId="35" applyFont="1" applyAlignment="1">
      <alignment horizontal="left"/>
    </xf>
    <xf numFmtId="167" fontId="91" fillId="0" borderId="0" xfId="0" applyNumberFormat="1" applyFont="1" applyAlignment="1">
      <alignment vertical="center"/>
    </xf>
    <xf numFmtId="168" fontId="101" fillId="0" borderId="0" xfId="0" applyNumberFormat="1" applyFont="1" applyAlignment="1">
      <alignment vertical="center"/>
    </xf>
    <xf numFmtId="0" fontId="0" fillId="0" borderId="0" xfId="0"/>
    <xf numFmtId="0" fontId="0" fillId="0" borderId="0" xfId="0"/>
    <xf numFmtId="4" fontId="116" fillId="0" borderId="0" xfId="0" applyNumberFormat="1" applyFont="1" applyAlignment="1">
      <alignment horizontal="center" vertical="center" wrapText="1"/>
    </xf>
    <xf numFmtId="0" fontId="0" fillId="0" borderId="0" xfId="0"/>
    <xf numFmtId="4" fontId="43" fillId="0" borderId="7" xfId="38" applyNumberFormat="1" applyFont="1" applyFill="1" applyBorder="1" applyAlignment="1" applyProtection="1">
      <alignment horizontal="center" vertical="center" wrapText="1"/>
      <protection locked="0"/>
    </xf>
    <xf numFmtId="0" fontId="39" fillId="0" borderId="7" xfId="0" applyFont="1" applyFill="1" applyBorder="1" applyAlignment="1">
      <alignment horizontal="center" vertical="center" wrapText="1"/>
    </xf>
    <xf numFmtId="49" fontId="39" fillId="33" borderId="7" xfId="0" applyNumberFormat="1" applyFont="1" applyFill="1" applyBorder="1" applyAlignment="1">
      <alignment horizontal="center" vertical="center" wrapText="1"/>
    </xf>
    <xf numFmtId="4" fontId="41" fillId="33" borderId="7" xfId="0" applyNumberFormat="1" applyFont="1" applyFill="1" applyBorder="1" applyAlignment="1">
      <alignment horizontal="center" vertical="center" wrapText="1"/>
    </xf>
    <xf numFmtId="4" fontId="43" fillId="33" borderId="7" xfId="0" applyNumberFormat="1" applyFont="1" applyFill="1" applyBorder="1" applyAlignment="1">
      <alignment horizontal="center" vertical="center"/>
    </xf>
    <xf numFmtId="4" fontId="43" fillId="33" borderId="7" xfId="0" applyNumberFormat="1" applyFont="1" applyFill="1" applyBorder="1" applyAlignment="1">
      <alignment horizontal="center" vertical="center" wrapText="1"/>
    </xf>
    <xf numFmtId="0" fontId="0" fillId="0" borderId="0" xfId="0"/>
    <xf numFmtId="4" fontId="41" fillId="0" borderId="14" xfId="0" applyNumberFormat="1" applyFont="1" applyFill="1" applyBorder="1" applyAlignment="1">
      <alignment horizontal="center" vertical="center" wrapText="1"/>
    </xf>
    <xf numFmtId="4" fontId="41" fillId="0" borderId="7" xfId="38" applyNumberFormat="1" applyFont="1" applyFill="1" applyBorder="1" applyAlignment="1" applyProtection="1">
      <alignment horizontal="center" vertical="center" wrapText="1"/>
      <protection locked="0"/>
    </xf>
    <xf numFmtId="49" fontId="40" fillId="34" borderId="7" xfId="0" applyNumberFormat="1" applyFont="1" applyFill="1" applyBorder="1" applyAlignment="1">
      <alignment horizontal="center" vertical="center" wrapText="1"/>
    </xf>
    <xf numFmtId="0" fontId="40" fillId="34" borderId="7" xfId="38" applyFont="1" applyFill="1" applyBorder="1" applyAlignment="1" applyProtection="1">
      <alignment horizontal="center" vertical="center" wrapText="1"/>
      <protection locked="0"/>
    </xf>
    <xf numFmtId="4" fontId="44" fillId="34" borderId="7" xfId="0" applyNumberFormat="1" applyFont="1" applyFill="1" applyBorder="1" applyAlignment="1">
      <alignment horizontal="center" vertical="center"/>
    </xf>
    <xf numFmtId="49" fontId="38" fillId="34" borderId="7" xfId="0" applyNumberFormat="1" applyFont="1" applyFill="1" applyBorder="1" applyAlignment="1">
      <alignment horizontal="center" vertical="center" wrapText="1"/>
    </xf>
    <xf numFmtId="0" fontId="38" fillId="34" borderId="7" xfId="38" applyFont="1" applyFill="1" applyBorder="1" applyAlignment="1" applyProtection="1">
      <alignment horizontal="center" vertical="center" wrapText="1"/>
      <protection locked="0"/>
    </xf>
    <xf numFmtId="4" fontId="41" fillId="34" borderId="7" xfId="0" applyNumberFormat="1" applyFont="1" applyFill="1" applyBorder="1" applyAlignment="1">
      <alignment horizontal="center" vertical="center" wrapText="1"/>
    </xf>
    <xf numFmtId="4" fontId="43" fillId="0" borderId="7" xfId="38" applyNumberFormat="1" applyFont="1" applyFill="1" applyBorder="1" applyAlignment="1">
      <alignment horizontal="center" vertical="center" wrapText="1"/>
    </xf>
    <xf numFmtId="4" fontId="41" fillId="0" borderId="7" xfId="38" applyNumberFormat="1" applyFont="1" applyFill="1" applyBorder="1" applyAlignment="1">
      <alignment horizontal="center" vertical="center" wrapText="1"/>
    </xf>
    <xf numFmtId="4" fontId="43" fillId="0" borderId="7" xfId="0" applyNumberFormat="1" applyFont="1" applyFill="1" applyBorder="1" applyAlignment="1">
      <alignment horizontal="center" vertical="center"/>
    </xf>
    <xf numFmtId="0" fontId="39" fillId="0" borderId="8" xfId="38" applyFont="1" applyFill="1" applyBorder="1" applyAlignment="1" applyProtection="1">
      <alignment horizontal="center" vertical="center" wrapText="1"/>
      <protection locked="0"/>
    </xf>
    <xf numFmtId="0" fontId="39" fillId="0" borderId="9" xfId="38" applyFont="1" applyFill="1" applyBorder="1" applyAlignment="1" applyProtection="1">
      <alignment horizontal="center" vertical="center" wrapText="1"/>
      <protection locked="0"/>
    </xf>
    <xf numFmtId="0" fontId="39" fillId="0" borderId="7" xfId="38" applyFont="1" applyFill="1" applyBorder="1" applyAlignment="1" applyProtection="1">
      <alignment horizontal="center" vertical="center" wrapText="1"/>
      <protection locked="0"/>
    </xf>
    <xf numFmtId="0" fontId="39" fillId="0" borderId="8" xfId="0" applyFont="1" applyFill="1" applyBorder="1" applyAlignment="1">
      <alignment horizontal="center" vertical="center" wrapText="1"/>
    </xf>
    <xf numFmtId="49" fontId="39" fillId="0" borderId="15" xfId="0" applyNumberFormat="1" applyFont="1" applyFill="1" applyBorder="1" applyAlignment="1">
      <alignment horizontal="center" vertical="center" wrapText="1"/>
    </xf>
    <xf numFmtId="0" fontId="39" fillId="0" borderId="0" xfId="0" applyFont="1" applyFill="1" applyAlignment="1">
      <alignment horizontal="center" vertical="center" wrapText="1"/>
    </xf>
    <xf numFmtId="49" fontId="39" fillId="0" borderId="8" xfId="0" applyNumberFormat="1" applyFont="1" applyFill="1" applyBorder="1" applyAlignment="1">
      <alignment horizontal="center" wrapText="1"/>
    </xf>
    <xf numFmtId="49" fontId="39" fillId="0" borderId="0" xfId="0" applyNumberFormat="1" applyFont="1" applyFill="1" applyAlignment="1">
      <alignment horizontal="center" vertical="top" wrapText="1"/>
    </xf>
    <xf numFmtId="49" fontId="39" fillId="0" borderId="12" xfId="0" applyNumberFormat="1" applyFont="1" applyFill="1" applyBorder="1" applyAlignment="1">
      <alignment horizontal="center" vertical="center" wrapText="1"/>
    </xf>
    <xf numFmtId="49" fontId="39" fillId="0" borderId="0" xfId="0" applyNumberFormat="1" applyFont="1" applyFill="1" applyBorder="1" applyAlignment="1">
      <alignment horizontal="center" vertical="center" wrapText="1"/>
    </xf>
    <xf numFmtId="49" fontId="39" fillId="0" borderId="0" xfId="0" applyNumberFormat="1" applyFont="1" applyFill="1" applyBorder="1" applyAlignment="1">
      <alignment horizontal="center" vertical="top" wrapText="1"/>
    </xf>
    <xf numFmtId="49" fontId="39" fillId="0" borderId="8" xfId="0" applyNumberFormat="1" applyFont="1" applyFill="1" applyBorder="1" applyAlignment="1">
      <alignment horizontal="center" vertical="top" wrapText="1"/>
    </xf>
    <xf numFmtId="49" fontId="39" fillId="0" borderId="7" xfId="0" applyNumberFormat="1" applyFont="1" applyFill="1" applyBorder="1" applyAlignment="1">
      <alignment horizontal="center" vertical="center"/>
    </xf>
    <xf numFmtId="0" fontId="6" fillId="0" borderId="0" xfId="39" applyFont="1"/>
    <xf numFmtId="0" fontId="0" fillId="0" borderId="0" xfId="0"/>
    <xf numFmtId="49" fontId="39" fillId="0" borderId="7" xfId="0" applyNumberFormat="1" applyFont="1" applyFill="1" applyBorder="1" applyAlignment="1">
      <alignment horizontal="center" vertical="center" wrapText="1"/>
    </xf>
    <xf numFmtId="4" fontId="41" fillId="27" borderId="0" xfId="0" applyNumberFormat="1" applyFont="1" applyFill="1" applyAlignment="1">
      <alignment horizontal="left" vertical="center" wrapText="1"/>
    </xf>
    <xf numFmtId="49" fontId="29" fillId="35" borderId="7" xfId="0" applyNumberFormat="1" applyFont="1" applyFill="1" applyBorder="1" applyAlignment="1">
      <alignment horizontal="center" vertical="center" wrapText="1"/>
    </xf>
    <xf numFmtId="164" fontId="32" fillId="35" borderId="7" xfId="30" applyNumberFormat="1" applyFont="1" applyFill="1" applyBorder="1" applyAlignment="1">
      <alignment horizontal="center" vertical="center"/>
    </xf>
    <xf numFmtId="164" fontId="32" fillId="35" borderId="7" xfId="30" applyNumberFormat="1" applyFont="1" applyFill="1" applyBorder="1" applyAlignment="1">
      <alignment horizontal="center" vertical="center" wrapText="1"/>
    </xf>
    <xf numFmtId="4" fontId="32" fillId="35" borderId="7" xfId="30" applyNumberFormat="1" applyFont="1" applyFill="1" applyBorder="1" applyAlignment="1">
      <alignment horizontal="center" vertical="center"/>
    </xf>
    <xf numFmtId="164" fontId="29" fillId="35" borderId="7" xfId="30" applyNumberFormat="1" applyFont="1" applyFill="1" applyBorder="1" applyAlignment="1">
      <alignment horizontal="center" vertical="center"/>
    </xf>
    <xf numFmtId="4" fontId="29" fillId="35" borderId="7" xfId="30" applyNumberFormat="1" applyFont="1" applyFill="1" applyBorder="1" applyAlignment="1">
      <alignment horizontal="center" vertical="center"/>
    </xf>
    <xf numFmtId="2" fontId="10" fillId="0" borderId="7" xfId="36" applyNumberFormat="1" applyFont="1" applyFill="1" applyBorder="1" applyAlignment="1">
      <alignment horizontal="center" vertical="center" wrapText="1"/>
    </xf>
    <xf numFmtId="4" fontId="10" fillId="0" borderId="7" xfId="36" applyNumberFormat="1" applyFont="1" applyFill="1" applyBorder="1" applyAlignment="1">
      <alignment horizontal="center" vertical="center"/>
    </xf>
    <xf numFmtId="0" fontId="0" fillId="0" borderId="0" xfId="0"/>
    <xf numFmtId="4" fontId="41" fillId="27" borderId="0" xfId="0" applyNumberFormat="1" applyFont="1" applyFill="1" applyAlignment="1">
      <alignment horizontal="left" vertical="center" wrapText="1"/>
    </xf>
    <xf numFmtId="49" fontId="39" fillId="0" borderId="7" xfId="0" applyNumberFormat="1" applyFont="1" applyFill="1" applyBorder="1" applyAlignment="1">
      <alignment horizontal="center" vertical="center" wrapText="1"/>
    </xf>
    <xf numFmtId="49" fontId="39" fillId="0" borderId="7" xfId="0" applyNumberFormat="1" applyFont="1" applyFill="1" applyBorder="1" applyAlignment="1">
      <alignment horizontal="center" vertical="center" wrapText="1"/>
    </xf>
    <xf numFmtId="4" fontId="76" fillId="0" borderId="7" xfId="36" applyNumberFormat="1" applyFont="1" applyFill="1" applyBorder="1" applyAlignment="1">
      <alignment horizontal="center" vertical="center" wrapText="1"/>
    </xf>
    <xf numFmtId="0" fontId="0" fillId="0" borderId="0" xfId="0"/>
    <xf numFmtId="0" fontId="30" fillId="0" borderId="7" xfId="0" applyFont="1" applyBorder="1" applyAlignment="1">
      <alignment horizontal="center" vertical="center" wrapText="1"/>
    </xf>
    <xf numFmtId="0" fontId="0" fillId="0" borderId="0" xfId="0"/>
    <xf numFmtId="0" fontId="0" fillId="0" borderId="0" xfId="0"/>
    <xf numFmtId="49" fontId="39" fillId="0" borderId="8" xfId="0" applyNumberFormat="1" applyFont="1" applyFill="1" applyBorder="1" applyAlignment="1">
      <alignment horizontal="center" vertical="center" wrapText="1"/>
    </xf>
    <xf numFmtId="4" fontId="41" fillId="0" borderId="8" xfId="0" applyNumberFormat="1" applyFont="1" applyFill="1" applyBorder="1" applyAlignment="1">
      <alignment horizontal="center" vertical="center" wrapText="1"/>
    </xf>
    <xf numFmtId="4" fontId="43" fillId="0" borderId="8" xfId="0" applyNumberFormat="1" applyFont="1" applyFill="1" applyBorder="1" applyAlignment="1">
      <alignment horizontal="center" vertical="center" wrapText="1"/>
    </xf>
    <xf numFmtId="4" fontId="41" fillId="0" borderId="7" xfId="0" applyNumberFormat="1" applyFont="1" applyFill="1" applyBorder="1" applyAlignment="1">
      <alignment horizontal="center" vertical="center" wrapText="1"/>
    </xf>
    <xf numFmtId="49" fontId="39" fillId="0" borderId="7" xfId="0" applyNumberFormat="1" applyFont="1" applyFill="1" applyBorder="1" applyAlignment="1">
      <alignment horizontal="center" vertical="center" wrapText="1"/>
    </xf>
    <xf numFmtId="4" fontId="41" fillId="27" borderId="0" xfId="0" applyNumberFormat="1" applyFont="1" applyFill="1" applyAlignment="1">
      <alignment horizontal="left" vertical="center" wrapText="1"/>
    </xf>
    <xf numFmtId="0" fontId="39" fillId="0" borderId="0" xfId="0" applyFont="1" applyAlignment="1">
      <alignment horizontal="center" vertical="center"/>
    </xf>
    <xf numFmtId="0" fontId="39" fillId="0" borderId="0" xfId="0" applyFont="1" applyAlignment="1">
      <alignment vertical="center"/>
    </xf>
    <xf numFmtId="0" fontId="38" fillId="0" borderId="0" xfId="0" applyFont="1" applyAlignment="1">
      <alignment horizontal="center" vertical="center"/>
    </xf>
    <xf numFmtId="0" fontId="38" fillId="0" borderId="7" xfId="0" applyFont="1" applyBorder="1" applyAlignment="1">
      <alignment horizontal="center" vertical="center" wrapText="1"/>
    </xf>
    <xf numFmtId="4" fontId="43" fillId="0" borderId="7" xfId="0" applyNumberFormat="1" applyFont="1" applyFill="1" applyBorder="1" applyAlignment="1">
      <alignment horizontal="center" vertical="center" wrapText="1"/>
    </xf>
    <xf numFmtId="4" fontId="41" fillId="0" borderId="7" xfId="0" applyNumberFormat="1" applyFont="1" applyFill="1" applyBorder="1" applyAlignment="1">
      <alignment horizontal="center" vertical="center" wrapText="1"/>
    </xf>
    <xf numFmtId="49" fontId="39" fillId="0" borderId="7" xfId="0" applyNumberFormat="1" applyFont="1" applyFill="1" applyBorder="1" applyAlignment="1">
      <alignment horizontal="center" vertical="center" wrapText="1"/>
    </xf>
    <xf numFmtId="49" fontId="39" fillId="35" borderId="7" xfId="0" applyNumberFormat="1" applyFont="1" applyFill="1" applyBorder="1" applyAlignment="1">
      <alignment horizontal="center" vertical="center" wrapText="1"/>
    </xf>
    <xf numFmtId="164" fontId="110" fillId="35" borderId="7" xfId="30" applyNumberFormat="1" applyFont="1" applyFill="1" applyBorder="1" applyAlignment="1">
      <alignment horizontal="center" vertical="center" wrapText="1"/>
    </xf>
    <xf numFmtId="4" fontId="43" fillId="35" borderId="7" xfId="0" applyNumberFormat="1" applyFont="1" applyFill="1" applyBorder="1" applyAlignment="1">
      <alignment horizontal="center" vertical="center" wrapText="1"/>
    </xf>
    <xf numFmtId="4" fontId="43" fillId="35" borderId="7" xfId="38" applyNumberFormat="1" applyFont="1" applyFill="1" applyBorder="1" applyAlignment="1" applyProtection="1">
      <alignment horizontal="center" vertical="center" wrapText="1"/>
      <protection locked="0"/>
    </xf>
    <xf numFmtId="4" fontId="41" fillId="35" borderId="7" xfId="0" applyNumberFormat="1" applyFont="1" applyFill="1" applyBorder="1" applyAlignment="1">
      <alignment horizontal="center" vertical="center" wrapText="1"/>
    </xf>
    <xf numFmtId="49" fontId="39" fillId="35" borderId="8" xfId="0" applyNumberFormat="1" applyFont="1" applyFill="1" applyBorder="1" applyAlignment="1">
      <alignment horizontal="center" vertical="center" wrapText="1"/>
    </xf>
    <xf numFmtId="0" fontId="110" fillId="35" borderId="7" xfId="0" applyFont="1" applyFill="1" applyBorder="1" applyAlignment="1">
      <alignment horizontal="center" vertical="center" wrapText="1"/>
    </xf>
    <xf numFmtId="4" fontId="43" fillId="35" borderId="7" xfId="38" applyNumberFormat="1" applyFont="1" applyFill="1" applyBorder="1" applyAlignment="1">
      <alignment horizontal="center" vertical="center" wrapText="1"/>
    </xf>
    <xf numFmtId="4" fontId="41" fillId="35" borderId="7" xfId="38" applyNumberFormat="1" applyFont="1" applyFill="1" applyBorder="1" applyAlignment="1" applyProtection="1">
      <alignment horizontal="center" vertical="center" wrapText="1"/>
      <protection locked="0"/>
    </xf>
    <xf numFmtId="4" fontId="43" fillId="35" borderId="7" xfId="0" applyNumberFormat="1" applyFont="1" applyFill="1" applyBorder="1" applyAlignment="1">
      <alignment horizontal="center" vertical="center"/>
    </xf>
    <xf numFmtId="49" fontId="38" fillId="36" borderId="7" xfId="0" applyNumberFormat="1" applyFont="1" applyFill="1" applyBorder="1" applyAlignment="1">
      <alignment horizontal="center" vertical="center" wrapText="1"/>
    </xf>
    <xf numFmtId="0" fontId="38" fillId="36" borderId="7" xfId="38" applyFont="1" applyFill="1" applyBorder="1" applyAlignment="1" applyProtection="1">
      <alignment horizontal="center" vertical="center" wrapText="1"/>
      <protection locked="0"/>
    </xf>
    <xf numFmtId="4" fontId="41" fillId="36" borderId="7" xfId="0" applyNumberFormat="1" applyFont="1" applyFill="1" applyBorder="1" applyAlignment="1">
      <alignment horizontal="center" vertical="center" wrapText="1"/>
    </xf>
    <xf numFmtId="49" fontId="40" fillId="37" borderId="7" xfId="0" applyNumberFormat="1" applyFont="1" applyFill="1" applyBorder="1" applyAlignment="1">
      <alignment horizontal="center" vertical="center" wrapText="1"/>
    </xf>
    <xf numFmtId="0" fontId="40" fillId="37" borderId="7" xfId="38" applyFont="1" applyFill="1" applyBorder="1" applyAlignment="1" applyProtection="1">
      <alignment horizontal="center" vertical="center" wrapText="1"/>
      <protection locked="0"/>
    </xf>
    <xf numFmtId="4" fontId="44" fillId="37" borderId="7" xfId="0" applyNumberFormat="1" applyFont="1" applyFill="1" applyBorder="1" applyAlignment="1">
      <alignment horizontal="center" vertical="center"/>
    </xf>
    <xf numFmtId="0" fontId="38" fillId="38" borderId="7" xfId="0" applyFont="1" applyFill="1" applyBorder="1" applyAlignment="1">
      <alignment horizontal="center" vertical="center"/>
    </xf>
    <xf numFmtId="0" fontId="38" fillId="38" borderId="7" xfId="0" applyFont="1" applyFill="1" applyBorder="1" applyAlignment="1">
      <alignment horizontal="left" vertical="center"/>
    </xf>
    <xf numFmtId="4" fontId="41" fillId="38" borderId="7" xfId="0" applyNumberFormat="1" applyFont="1" applyFill="1" applyBorder="1" applyAlignment="1">
      <alignment horizontal="center" vertical="center"/>
    </xf>
    <xf numFmtId="0" fontId="30" fillId="38" borderId="7" xfId="35" applyFont="1" applyFill="1" applyBorder="1" applyAlignment="1">
      <alignment horizontal="center" vertical="center" wrapText="1"/>
    </xf>
    <xf numFmtId="49" fontId="30" fillId="38" borderId="7" xfId="35" applyNumberFormat="1" applyFont="1" applyFill="1" applyBorder="1" applyAlignment="1">
      <alignment horizontal="center" vertical="center" wrapText="1"/>
    </xf>
    <xf numFmtId="0" fontId="30" fillId="38" borderId="7" xfId="35" applyFont="1" applyFill="1" applyBorder="1" applyAlignment="1">
      <alignment horizontal="left" vertical="center" wrapText="1"/>
    </xf>
    <xf numFmtId="4" fontId="30" fillId="38" borderId="7" xfId="35" applyNumberFormat="1" applyFont="1" applyFill="1" applyBorder="1" applyAlignment="1">
      <alignment horizontal="center" vertical="center"/>
    </xf>
    <xf numFmtId="0" fontId="0" fillId="0" borderId="0" xfId="0"/>
    <xf numFmtId="4" fontId="41" fillId="0" borderId="7" xfId="0" applyNumberFormat="1" applyFont="1" applyFill="1" applyBorder="1" applyAlignment="1">
      <alignment horizontal="center" vertical="center" wrapText="1"/>
    </xf>
    <xf numFmtId="49" fontId="39" fillId="0" borderId="15" xfId="0" applyNumberFormat="1" applyFont="1" applyFill="1" applyBorder="1" applyAlignment="1">
      <alignment horizontal="center" vertical="top" wrapText="1"/>
    </xf>
    <xf numFmtId="49" fontId="29" fillId="0" borderId="15" xfId="0" applyNumberFormat="1" applyFont="1" applyFill="1" applyBorder="1" applyAlignment="1">
      <alignment horizontal="center" vertical="top" wrapText="1"/>
    </xf>
    <xf numFmtId="49" fontId="29" fillId="0" borderId="0" xfId="0" applyNumberFormat="1" applyFont="1" applyFill="1" applyBorder="1" applyAlignment="1">
      <alignment horizontal="center" vertical="top" wrapText="1"/>
    </xf>
    <xf numFmtId="49" fontId="29" fillId="0" borderId="7" xfId="0" applyNumberFormat="1" applyFont="1" applyFill="1" applyBorder="1" applyAlignment="1">
      <alignment horizontal="center" vertical="center" wrapText="1"/>
    </xf>
    <xf numFmtId="4" fontId="29" fillId="0" borderId="7" xfId="0" applyNumberFormat="1" applyFont="1" applyFill="1" applyBorder="1" applyAlignment="1">
      <alignment horizontal="center" vertical="center" wrapText="1"/>
    </xf>
    <xf numFmtId="164" fontId="110" fillId="0" borderId="7" xfId="30" applyNumberFormat="1" applyFont="1" applyFill="1" applyBorder="1" applyAlignment="1">
      <alignment horizontal="center" vertical="center" wrapText="1"/>
    </xf>
    <xf numFmtId="4" fontId="128" fillId="27" borderId="0" xfId="0" applyNumberFormat="1" applyFont="1" applyFill="1" applyAlignment="1">
      <alignment horizontal="center" vertical="center" wrapText="1"/>
    </xf>
    <xf numFmtId="4" fontId="128" fillId="27" borderId="0" xfId="0" applyNumberFormat="1" applyFont="1" applyFill="1" applyAlignment="1">
      <alignment horizontal="left" vertical="center" wrapText="1"/>
    </xf>
    <xf numFmtId="4" fontId="14" fillId="0" borderId="7" xfId="39" applyNumberFormat="1" applyFont="1" applyBorder="1" applyAlignment="1">
      <alignment horizontal="right" vertical="center" wrapText="1"/>
    </xf>
    <xf numFmtId="4" fontId="6" fillId="0" borderId="7" xfId="39" applyNumberFormat="1" applyFont="1" applyBorder="1" applyAlignment="1">
      <alignment horizontal="right" vertical="center" wrapText="1"/>
    </xf>
    <xf numFmtId="0" fontId="0" fillId="0" borderId="0" xfId="0"/>
    <xf numFmtId="0" fontId="0" fillId="0" borderId="0" xfId="0"/>
    <xf numFmtId="0" fontId="39" fillId="0" borderId="0" xfId="0" applyFont="1" applyAlignment="1">
      <alignment horizontal="center" vertical="center"/>
    </xf>
    <xf numFmtId="0" fontId="39" fillId="0" borderId="0" xfId="0" applyFont="1" applyAlignment="1">
      <alignment vertical="center"/>
    </xf>
    <xf numFmtId="0" fontId="38" fillId="0" borderId="0" xfId="0" applyFont="1" applyAlignment="1">
      <alignment horizontal="center" vertical="center"/>
    </xf>
    <xf numFmtId="0" fontId="38" fillId="0" borderId="7" xfId="0" applyFont="1" applyBorder="1" applyAlignment="1">
      <alignment horizontal="center" vertical="center" wrapText="1"/>
    </xf>
    <xf numFmtId="49" fontId="39" fillId="0" borderId="8" xfId="0" applyNumberFormat="1" applyFont="1" applyFill="1" applyBorder="1" applyAlignment="1">
      <alignment horizontal="center" vertical="center" wrapText="1"/>
    </xf>
    <xf numFmtId="4" fontId="41" fillId="0" borderId="8" xfId="0" applyNumberFormat="1" applyFont="1" applyFill="1" applyBorder="1" applyAlignment="1">
      <alignment horizontal="center" vertical="center" wrapText="1"/>
    </xf>
    <xf numFmtId="4" fontId="43" fillId="0" borderId="8" xfId="0" applyNumberFormat="1" applyFont="1" applyFill="1" applyBorder="1" applyAlignment="1">
      <alignment horizontal="center" vertical="center" wrapText="1"/>
    </xf>
    <xf numFmtId="4" fontId="41" fillId="27" borderId="0" xfId="0" applyNumberFormat="1" applyFont="1" applyFill="1" applyAlignment="1">
      <alignment horizontal="left" vertical="center" wrapText="1"/>
    </xf>
    <xf numFmtId="4" fontId="41" fillId="0" borderId="7" xfId="0" applyNumberFormat="1" applyFont="1" applyFill="1" applyBorder="1" applyAlignment="1">
      <alignment horizontal="center" vertical="center" wrapText="1"/>
    </xf>
    <xf numFmtId="49" fontId="39" fillId="0" borderId="7" xfId="0" applyNumberFormat="1" applyFont="1" applyFill="1" applyBorder="1" applyAlignment="1">
      <alignment horizontal="center" vertical="center" wrapText="1"/>
    </xf>
    <xf numFmtId="0" fontId="39" fillId="0" borderId="8" xfId="0" applyFont="1" applyFill="1" applyBorder="1" applyAlignment="1">
      <alignment horizontal="center" vertical="center" wrapText="1"/>
    </xf>
    <xf numFmtId="49" fontId="49" fillId="0" borderId="7" xfId="0" applyNumberFormat="1" applyFont="1" applyFill="1" applyBorder="1" applyAlignment="1">
      <alignment horizontal="center" vertical="center" wrapText="1"/>
    </xf>
    <xf numFmtId="164" fontId="52" fillId="0" borderId="7" xfId="30" applyNumberFormat="1" applyFont="1" applyFill="1" applyBorder="1" applyAlignment="1">
      <alignment horizontal="center" vertical="center"/>
    </xf>
    <xf numFmtId="4" fontId="49" fillId="0" borderId="7" xfId="30" applyNumberFormat="1" applyFont="1" applyFill="1" applyBorder="1" applyAlignment="1">
      <alignment horizontal="center" vertical="center"/>
    </xf>
    <xf numFmtId="4" fontId="29" fillId="0" borderId="7" xfId="30" applyNumberFormat="1" applyFont="1" applyFill="1" applyBorder="1" applyAlignment="1">
      <alignment horizontal="center" vertical="center"/>
    </xf>
    <xf numFmtId="0" fontId="49" fillId="0" borderId="7" xfId="0" applyFont="1" applyFill="1" applyBorder="1" applyAlignment="1">
      <alignment horizontal="center" vertical="center" wrapText="1"/>
    </xf>
    <xf numFmtId="9" fontId="29" fillId="0" borderId="7" xfId="30" applyNumberFormat="1" applyFont="1" applyFill="1" applyBorder="1" applyAlignment="1">
      <alignment horizontal="center" vertical="center"/>
    </xf>
    <xf numFmtId="0" fontId="0" fillId="0" borderId="0" xfId="0"/>
    <xf numFmtId="4" fontId="41" fillId="0" borderId="7" xfId="0" applyNumberFormat="1" applyFont="1" applyFill="1" applyBorder="1" applyAlignment="1">
      <alignment horizontal="center" vertical="center" wrapText="1"/>
    </xf>
    <xf numFmtId="49" fontId="39" fillId="0" borderId="7" xfId="0" applyNumberFormat="1"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7" xfId="93" applyFont="1" applyFill="1" applyBorder="1" applyAlignment="1">
      <alignment horizontal="center" vertical="center" wrapText="1"/>
    </xf>
    <xf numFmtId="4" fontId="32" fillId="0" borderId="7" xfId="30" applyNumberFormat="1" applyFont="1" applyFill="1" applyBorder="1" applyAlignment="1">
      <alignment horizontal="center" vertical="center"/>
    </xf>
    <xf numFmtId="9" fontId="32" fillId="0" borderId="7" xfId="30" applyNumberFormat="1" applyFont="1" applyFill="1" applyBorder="1" applyAlignment="1">
      <alignment horizontal="center" vertical="center"/>
    </xf>
    <xf numFmtId="0" fontId="29" fillId="0" borderId="7" xfId="92" applyFont="1" applyFill="1" applyBorder="1" applyAlignment="1">
      <alignment horizontal="center" vertical="center" wrapText="1"/>
    </xf>
    <xf numFmtId="0" fontId="32" fillId="0" borderId="7" xfId="0" applyFont="1" applyFill="1" applyBorder="1" applyAlignment="1">
      <alignment horizontal="center" vertical="center" wrapText="1"/>
    </xf>
    <xf numFmtId="0" fontId="29" fillId="0" borderId="7" xfId="84" applyFont="1" applyFill="1" applyBorder="1" applyAlignment="1">
      <alignment horizontal="center" vertical="center" wrapText="1"/>
    </xf>
    <xf numFmtId="164" fontId="32" fillId="0" borderId="7" xfId="30" applyNumberFormat="1" applyFont="1" applyFill="1" applyBorder="1" applyAlignment="1">
      <alignment horizontal="center" vertical="center"/>
    </xf>
    <xf numFmtId="0" fontId="29" fillId="0" borderId="7" xfId="40" applyFont="1" applyFill="1" applyBorder="1" applyAlignment="1">
      <alignment horizontal="center" vertical="center" wrapText="1"/>
    </xf>
    <xf numFmtId="49" fontId="10" fillId="0" borderId="18" xfId="0" applyNumberFormat="1" applyFont="1" applyBorder="1" applyAlignment="1">
      <alignment horizontal="center" vertical="center" wrapText="1"/>
    </xf>
    <xf numFmtId="4" fontId="10" fillId="0" borderId="7" xfId="0" applyNumberFormat="1" applyFont="1" applyBorder="1" applyAlignment="1">
      <alignment horizontal="center" vertical="center" wrapText="1"/>
    </xf>
    <xf numFmtId="49" fontId="39" fillId="0" borderId="7" xfId="0" applyNumberFormat="1" applyFont="1" applyBorder="1" applyAlignment="1">
      <alignment horizontal="center" vertical="center" wrapText="1"/>
    </xf>
    <xf numFmtId="49" fontId="39" fillId="0" borderId="18" xfId="0" applyNumberFormat="1" applyFont="1" applyBorder="1" applyAlignment="1">
      <alignment horizontal="center" vertical="center" wrapText="1"/>
    </xf>
    <xf numFmtId="0" fontId="0" fillId="0" borderId="0" xfId="0"/>
    <xf numFmtId="0" fontId="39" fillId="0" borderId="0" xfId="0" applyFont="1" applyAlignment="1">
      <alignment horizontal="center" vertical="center"/>
    </xf>
    <xf numFmtId="0" fontId="39" fillId="0" borderId="0" xfId="0" applyFont="1" applyAlignment="1">
      <alignment vertical="center"/>
    </xf>
    <xf numFmtId="0" fontId="38" fillId="0" borderId="0" xfId="0" applyFont="1" applyAlignment="1">
      <alignment horizontal="center" vertical="center"/>
    </xf>
    <xf numFmtId="0" fontId="38" fillId="0" borderId="7" xfId="0" applyFont="1" applyBorder="1" applyAlignment="1">
      <alignment horizontal="center" vertical="center" wrapText="1"/>
    </xf>
    <xf numFmtId="49" fontId="39" fillId="0" borderId="8" xfId="0" applyNumberFormat="1" applyFont="1" applyFill="1" applyBorder="1" applyAlignment="1">
      <alignment horizontal="center" vertical="center" wrapText="1"/>
    </xf>
    <xf numFmtId="4" fontId="41" fillId="0" borderId="8" xfId="0" applyNumberFormat="1" applyFont="1" applyFill="1" applyBorder="1" applyAlignment="1">
      <alignment horizontal="center" vertical="center" wrapText="1"/>
    </xf>
    <xf numFmtId="4" fontId="43" fillId="0" borderId="8" xfId="0" applyNumberFormat="1" applyFont="1" applyFill="1" applyBorder="1" applyAlignment="1">
      <alignment horizontal="center" vertical="center" wrapText="1"/>
    </xf>
    <xf numFmtId="4" fontId="41" fillId="27" borderId="0" xfId="0" applyNumberFormat="1" applyFont="1" applyFill="1" applyAlignment="1">
      <alignment horizontal="left" vertical="center" wrapText="1"/>
    </xf>
    <xf numFmtId="4" fontId="41" fillId="0" borderId="7" xfId="0" applyNumberFormat="1" applyFont="1" applyFill="1" applyBorder="1" applyAlignment="1">
      <alignment horizontal="center" vertical="center" wrapText="1"/>
    </xf>
    <xf numFmtId="49" fontId="39" fillId="0" borderId="7" xfId="0" applyNumberFormat="1" applyFont="1" applyFill="1" applyBorder="1" applyAlignment="1">
      <alignment horizontal="center" vertical="center" wrapText="1"/>
    </xf>
    <xf numFmtId="0" fontId="39" fillId="0" borderId="8" xfId="0" applyFont="1" applyFill="1" applyBorder="1" applyAlignment="1">
      <alignment horizontal="center" vertical="center" wrapText="1"/>
    </xf>
    <xf numFmtId="4" fontId="39" fillId="0" borderId="7" xfId="0" applyNumberFormat="1" applyFont="1" applyFill="1" applyBorder="1" applyAlignment="1">
      <alignment horizontal="center" vertical="center" wrapText="1"/>
    </xf>
    <xf numFmtId="4" fontId="43" fillId="0" borderId="8" xfId="0" applyNumberFormat="1" applyFont="1" applyFill="1" applyBorder="1" applyAlignment="1">
      <alignment horizontal="center" wrapText="1"/>
    </xf>
    <xf numFmtId="4" fontId="43" fillId="0" borderId="0" xfId="0" applyNumberFormat="1" applyFont="1" applyFill="1" applyAlignment="1">
      <alignment horizontal="center" vertical="top" wrapText="1"/>
    </xf>
    <xf numFmtId="4" fontId="40" fillId="37" borderId="7" xfId="0" applyNumberFormat="1" applyFont="1" applyFill="1" applyBorder="1" applyAlignment="1">
      <alignment horizontal="center" vertical="center" wrapText="1"/>
    </xf>
    <xf numFmtId="4" fontId="38" fillId="36" borderId="7" xfId="0" applyNumberFormat="1" applyFont="1" applyFill="1" applyBorder="1" applyAlignment="1">
      <alignment horizontal="center" vertical="center" wrapText="1"/>
    </xf>
    <xf numFmtId="49" fontId="48" fillId="37" borderId="7" xfId="0" applyNumberFormat="1" applyFont="1" applyFill="1" applyBorder="1" applyAlignment="1">
      <alignment horizontal="center" vertical="center" wrapText="1"/>
    </xf>
    <xf numFmtId="49" fontId="30" fillId="36" borderId="7" xfId="0" applyNumberFormat="1" applyFont="1" applyFill="1" applyBorder="1" applyAlignment="1">
      <alignment horizontal="center" vertical="center" wrapText="1"/>
    </xf>
    <xf numFmtId="4" fontId="48" fillId="37" borderId="7" xfId="0" applyNumberFormat="1" applyFont="1" applyFill="1" applyBorder="1" applyAlignment="1">
      <alignment horizontal="center" vertical="center" wrapText="1"/>
    </xf>
    <xf numFmtId="4" fontId="30" fillId="36" borderId="7" xfId="0" applyNumberFormat="1" applyFont="1" applyFill="1" applyBorder="1" applyAlignment="1">
      <alignment horizontal="center" vertical="center" wrapText="1"/>
    </xf>
    <xf numFmtId="0" fontId="30" fillId="0" borderId="7" xfId="35" applyFont="1" applyFill="1" applyBorder="1" applyAlignment="1">
      <alignment horizontal="center" vertical="center" wrapText="1"/>
    </xf>
    <xf numFmtId="164" fontId="32" fillId="0" borderId="7" xfId="30" applyNumberFormat="1" applyFont="1" applyFill="1" applyBorder="1" applyAlignment="1">
      <alignment horizontal="center" vertical="center" wrapText="1"/>
    </xf>
    <xf numFmtId="0" fontId="6" fillId="0" borderId="0" xfId="35" applyFill="1"/>
    <xf numFmtId="9" fontId="29" fillId="0" borderId="7" xfId="0" applyNumberFormat="1" applyFont="1" applyFill="1" applyBorder="1" applyAlignment="1">
      <alignment horizontal="center" vertical="center" wrapText="1"/>
    </xf>
    <xf numFmtId="0" fontId="110" fillId="0" borderId="7" xfId="0" applyFont="1" applyFill="1" applyBorder="1" applyAlignment="1">
      <alignment horizontal="center" vertical="center" wrapText="1"/>
    </xf>
    <xf numFmtId="0" fontId="29" fillId="0" borderId="7" xfId="38" applyFont="1" applyFill="1" applyBorder="1" applyAlignment="1" applyProtection="1">
      <alignment horizontal="center" vertical="center" wrapText="1"/>
      <protection locked="0"/>
    </xf>
    <xf numFmtId="0" fontId="54" fillId="0" borderId="7" xfId="0" applyFont="1" applyFill="1" applyBorder="1" applyAlignment="1">
      <alignment horizontal="center" vertical="center" wrapText="1"/>
    </xf>
    <xf numFmtId="49" fontId="29" fillId="0" borderId="0" xfId="0" applyNumberFormat="1" applyFont="1" applyFill="1" applyAlignment="1">
      <alignment horizontal="center" vertical="center" wrapText="1"/>
    </xf>
    <xf numFmtId="49" fontId="29" fillId="0" borderId="0" xfId="0" applyNumberFormat="1" applyFont="1" applyFill="1" applyAlignment="1">
      <alignment horizontal="center" vertical="top" wrapText="1"/>
    </xf>
    <xf numFmtId="49" fontId="29" fillId="0" borderId="8" xfId="0" applyNumberFormat="1" applyFont="1" applyFill="1" applyBorder="1" applyAlignment="1">
      <alignment horizontal="center" vertical="top" wrapText="1"/>
    </xf>
    <xf numFmtId="164" fontId="29" fillId="0" borderId="7" xfId="0" applyNumberFormat="1" applyFont="1" applyFill="1" applyBorder="1" applyAlignment="1">
      <alignment horizontal="center" vertical="center" wrapText="1"/>
    </xf>
    <xf numFmtId="4" fontId="42" fillId="0" borderId="8" xfId="0" applyNumberFormat="1" applyFont="1" applyFill="1" applyBorder="1" applyAlignment="1">
      <alignment horizontal="center" vertical="center" wrapText="1"/>
    </xf>
    <xf numFmtId="4" fontId="42" fillId="0" borderId="7" xfId="0" applyNumberFormat="1" applyFont="1" applyFill="1" applyBorder="1" applyAlignment="1">
      <alignment horizontal="center" vertical="center" wrapText="1"/>
    </xf>
    <xf numFmtId="164" fontId="110" fillId="0" borderId="8" xfId="30" applyNumberFormat="1" applyFont="1" applyFill="1" applyBorder="1" applyAlignment="1">
      <alignment horizontal="center" vertical="center" wrapText="1"/>
    </xf>
    <xf numFmtId="49" fontId="29" fillId="0" borderId="7" xfId="0" applyNumberFormat="1" applyFont="1" applyFill="1" applyBorder="1" applyAlignment="1">
      <alignment horizontal="center" vertical="center"/>
    </xf>
    <xf numFmtId="164" fontId="29" fillId="0" borderId="7" xfId="30" applyNumberFormat="1" applyFont="1" applyFill="1" applyBorder="1" applyAlignment="1">
      <alignment horizontal="center" vertical="center"/>
    </xf>
    <xf numFmtId="49" fontId="39" fillId="0" borderId="7" xfId="35" applyNumberFormat="1" applyFont="1" applyFill="1" applyBorder="1" applyAlignment="1">
      <alignment horizontal="center" vertical="center" wrapText="1"/>
    </xf>
    <xf numFmtId="0" fontId="39" fillId="0" borderId="7" xfId="35" applyFont="1" applyFill="1" applyBorder="1" applyAlignment="1">
      <alignment horizontal="center" vertical="center" wrapText="1"/>
    </xf>
    <xf numFmtId="0" fontId="6" fillId="0" borderId="7" xfId="35" applyFill="1" applyBorder="1"/>
    <xf numFmtId="0" fontId="49" fillId="0" borderId="7" xfId="86" applyFont="1" applyFill="1" applyBorder="1" applyAlignment="1">
      <alignment horizontal="center" vertical="center" wrapText="1"/>
    </xf>
    <xf numFmtId="4" fontId="52" fillId="0" borderId="7" xfId="30" applyNumberFormat="1" applyFont="1" applyFill="1" applyBorder="1" applyAlignment="1">
      <alignment horizontal="center" vertical="center"/>
    </xf>
    <xf numFmtId="0" fontId="29" fillId="0" borderId="7" xfId="94" applyFont="1" applyFill="1" applyBorder="1" applyAlignment="1">
      <alignment horizontal="center" vertical="center" wrapText="1"/>
    </xf>
    <xf numFmtId="9" fontId="49" fillId="0" borderId="7" xfId="30" applyNumberFormat="1" applyFont="1" applyFill="1" applyBorder="1" applyAlignment="1">
      <alignment horizontal="center" vertical="center"/>
    </xf>
    <xf numFmtId="0" fontId="49" fillId="0" borderId="7" xfId="45" applyFont="1" applyFill="1" applyBorder="1" applyAlignment="1">
      <alignment horizontal="center" vertical="center" wrapText="1"/>
    </xf>
    <xf numFmtId="0" fontId="49" fillId="0" borderId="7" xfId="94" applyFont="1" applyFill="1" applyBorder="1" applyAlignment="1">
      <alignment horizontal="center" vertical="center" wrapText="1"/>
    </xf>
    <xf numFmtId="0" fontId="124" fillId="0" borderId="7" xfId="94" applyFont="1" applyFill="1" applyBorder="1" applyAlignment="1">
      <alignment horizontal="center" vertical="center" wrapText="1"/>
    </xf>
    <xf numFmtId="4" fontId="39" fillId="0" borderId="7" xfId="38" applyNumberFormat="1" applyFont="1" applyFill="1" applyBorder="1" applyAlignment="1" applyProtection="1">
      <alignment horizontal="center" vertical="center" wrapText="1"/>
      <protection locked="0"/>
    </xf>
    <xf numFmtId="4" fontId="43" fillId="0" borderId="8" xfId="38" applyNumberFormat="1" applyFont="1" applyFill="1" applyBorder="1" applyAlignment="1" applyProtection="1">
      <alignment horizontal="center" vertical="center" wrapText="1"/>
      <protection locked="0"/>
    </xf>
    <xf numFmtId="4" fontId="43" fillId="0" borderId="8" xfId="38" applyNumberFormat="1" applyFont="1" applyFill="1" applyBorder="1" applyAlignment="1">
      <alignment horizontal="center" vertical="center" wrapText="1"/>
    </xf>
    <xf numFmtId="0" fontId="111" fillId="0" borderId="7"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0" fillId="0" borderId="0" xfId="0"/>
    <xf numFmtId="0" fontId="39" fillId="0" borderId="0" xfId="0" applyFont="1" applyAlignment="1">
      <alignment horizontal="center" vertical="center"/>
    </xf>
    <xf numFmtId="0" fontId="39" fillId="0" borderId="0" xfId="0" applyFont="1" applyAlignment="1">
      <alignment vertical="center"/>
    </xf>
    <xf numFmtId="0" fontId="38" fillId="0" borderId="0" xfId="0" applyFont="1" applyAlignment="1">
      <alignment horizontal="center" vertical="center"/>
    </xf>
    <xf numFmtId="0" fontId="38" fillId="0" borderId="7" xfId="0" applyFont="1" applyBorder="1" applyAlignment="1">
      <alignment horizontal="center" vertical="center" wrapText="1"/>
    </xf>
    <xf numFmtId="49" fontId="39" fillId="0" borderId="8" xfId="0" applyNumberFormat="1" applyFont="1" applyFill="1" applyBorder="1" applyAlignment="1">
      <alignment horizontal="center" vertical="center" wrapText="1"/>
    </xf>
    <xf numFmtId="49" fontId="39" fillId="0" borderId="7" xfId="0" applyNumberFormat="1" applyFont="1" applyFill="1" applyBorder="1" applyAlignment="1">
      <alignment horizontal="center" vertical="center" wrapText="1"/>
    </xf>
    <xf numFmtId="0" fontId="39" fillId="0" borderId="8" xfId="0" applyFont="1" applyFill="1" applyBorder="1" applyAlignment="1">
      <alignment horizontal="center" vertical="center" wrapText="1"/>
    </xf>
    <xf numFmtId="0" fontId="0" fillId="0" borderId="0" xfId="0"/>
    <xf numFmtId="0" fontId="39" fillId="0" borderId="0" xfId="0" applyFont="1" applyAlignment="1">
      <alignment horizontal="center" vertical="center"/>
    </xf>
    <xf numFmtId="0" fontId="39" fillId="0" borderId="0" xfId="0" applyFont="1" applyAlignment="1">
      <alignment vertical="center"/>
    </xf>
    <xf numFmtId="0" fontId="38" fillId="0" borderId="0" xfId="0" applyFont="1" applyAlignment="1">
      <alignment horizontal="center" vertical="center"/>
    </xf>
    <xf numFmtId="0" fontId="38" fillId="0" borderId="7" xfId="0" applyFont="1" applyBorder="1" applyAlignment="1">
      <alignment horizontal="center" vertical="center" wrapText="1"/>
    </xf>
    <xf numFmtId="49" fontId="39" fillId="0" borderId="8" xfId="0" applyNumberFormat="1" applyFont="1" applyFill="1" applyBorder="1" applyAlignment="1">
      <alignment horizontal="center" vertical="center" wrapText="1"/>
    </xf>
    <xf numFmtId="4" fontId="41" fillId="0" borderId="8" xfId="0" applyNumberFormat="1" applyFont="1" applyFill="1" applyBorder="1" applyAlignment="1">
      <alignment horizontal="center" vertical="center" wrapText="1"/>
    </xf>
    <xf numFmtId="4" fontId="43" fillId="0" borderId="8" xfId="0" applyNumberFormat="1" applyFont="1" applyFill="1" applyBorder="1" applyAlignment="1">
      <alignment horizontal="center" vertical="center" wrapText="1"/>
    </xf>
    <xf numFmtId="4" fontId="41" fillId="27" borderId="0" xfId="0" applyNumberFormat="1" applyFont="1" applyFill="1" applyAlignment="1">
      <alignment horizontal="left" vertical="center" wrapText="1"/>
    </xf>
    <xf numFmtId="4" fontId="41" fillId="0" borderId="7" xfId="0" applyNumberFormat="1" applyFont="1" applyFill="1" applyBorder="1" applyAlignment="1">
      <alignment horizontal="center" vertical="center" wrapText="1"/>
    </xf>
    <xf numFmtId="49" fontId="39" fillId="0" borderId="7" xfId="0" applyNumberFormat="1" applyFont="1" applyFill="1" applyBorder="1" applyAlignment="1">
      <alignment horizontal="center" vertical="center" wrapText="1"/>
    </xf>
    <xf numFmtId="0" fontId="39" fillId="0" borderId="8" xfId="0" applyFont="1" applyFill="1" applyBorder="1" applyAlignment="1">
      <alignment horizontal="center" vertical="center" wrapText="1"/>
    </xf>
    <xf numFmtId="0" fontId="10" fillId="0" borderId="0" xfId="0" applyFont="1" applyAlignment="1">
      <alignment horizontal="center" vertical="center"/>
    </xf>
    <xf numFmtId="0" fontId="0" fillId="0" borderId="0" xfId="0"/>
    <xf numFmtId="0" fontId="0" fillId="0" borderId="0" xfId="0" applyAlignment="1">
      <alignment horizontal="center" vertical="center"/>
    </xf>
    <xf numFmtId="0" fontId="59" fillId="0" borderId="0" xfId="39" applyFont="1" applyAlignment="1">
      <alignment horizontal="center" vertical="center"/>
    </xf>
    <xf numFmtId="0" fontId="11" fillId="0" borderId="7" xfId="39" applyFont="1" applyBorder="1" applyAlignment="1">
      <alignment horizontal="center" vertical="center"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9" fillId="0" borderId="14"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wrapText="1"/>
    </xf>
    <xf numFmtId="0" fontId="69" fillId="0" borderId="0" xfId="0" applyFont="1" applyAlignment="1">
      <alignment horizontal="center"/>
    </xf>
    <xf numFmtId="0" fontId="61" fillId="0" borderId="7" xfId="0" applyFont="1" applyBorder="1" applyAlignment="1">
      <alignment horizontal="center" vertical="center" wrapText="1"/>
    </xf>
    <xf numFmtId="0" fontId="61" fillId="0" borderId="8" xfId="0" applyFont="1" applyBorder="1" applyAlignment="1">
      <alignment horizontal="center" vertical="center" wrapText="1"/>
    </xf>
    <xf numFmtId="0" fontId="0" fillId="0" borderId="10" xfId="0" applyBorder="1" applyAlignment="1">
      <alignment horizontal="center" vertical="center" wrapText="1"/>
    </xf>
    <xf numFmtId="0" fontId="39" fillId="0" borderId="0" xfId="0" applyFont="1" applyAlignment="1">
      <alignment horizontal="center" vertical="center"/>
    </xf>
    <xf numFmtId="0" fontId="0" fillId="0" borderId="0" xfId="0" applyAlignment="1">
      <alignment vertical="center"/>
    </xf>
    <xf numFmtId="0" fontId="39" fillId="0" borderId="0" xfId="0" applyFont="1" applyAlignment="1">
      <alignment vertical="center"/>
    </xf>
    <xf numFmtId="0" fontId="38" fillId="0" borderId="7" xfId="0" applyFont="1" applyBorder="1" applyAlignment="1">
      <alignment horizontal="center" vertical="center"/>
    </xf>
    <xf numFmtId="0" fontId="38" fillId="0" borderId="0" xfId="0" applyFont="1" applyAlignment="1">
      <alignment horizontal="center" vertical="center"/>
    </xf>
    <xf numFmtId="0" fontId="38" fillId="0" borderId="7" xfId="0" applyFont="1" applyBorder="1" applyAlignment="1">
      <alignment horizontal="center" vertical="center" wrapText="1"/>
    </xf>
    <xf numFmtId="49" fontId="39" fillId="0" borderId="8"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4" fontId="39" fillId="0" borderId="8" xfId="0" applyNumberFormat="1" applyFont="1" applyFill="1" applyBorder="1" applyAlignment="1">
      <alignment horizontal="center" vertical="center" wrapText="1"/>
    </xf>
    <xf numFmtId="0" fontId="38" fillId="0" borderId="17" xfId="0" applyFont="1" applyBorder="1" applyAlignment="1">
      <alignment horizontal="center" vertical="center"/>
    </xf>
    <xf numFmtId="0" fontId="38" fillId="0" borderId="18" xfId="0" applyFont="1" applyBorder="1" applyAlignment="1">
      <alignment horizontal="center" vertical="center"/>
    </xf>
    <xf numFmtId="0" fontId="0" fillId="0" borderId="14" xfId="0" applyBorder="1" applyAlignment="1">
      <alignment horizontal="center" vertical="center"/>
    </xf>
    <xf numFmtId="4" fontId="38" fillId="0" borderId="8" xfId="0" applyNumberFormat="1" applyFont="1" applyFill="1" applyBorder="1" applyAlignment="1">
      <alignment horizontal="center" vertical="center" wrapText="1"/>
    </xf>
    <xf numFmtId="4" fontId="9" fillId="0" borderId="10" xfId="0" applyNumberFormat="1" applyFont="1" applyFill="1" applyBorder="1" applyAlignment="1">
      <alignment horizontal="center" vertical="center" wrapText="1"/>
    </xf>
    <xf numFmtId="4" fontId="41" fillId="0" borderId="8" xfId="0" applyNumberFormat="1" applyFont="1" applyFill="1" applyBorder="1" applyAlignment="1">
      <alignment horizontal="center" vertical="center" wrapText="1"/>
    </xf>
    <xf numFmtId="0" fontId="9" fillId="0" borderId="9" xfId="0" applyFont="1" applyFill="1" applyBorder="1" applyAlignment="1">
      <alignment horizontal="center" vertical="center" wrapText="1"/>
    </xf>
    <xf numFmtId="4" fontId="0" fillId="0" borderId="10" xfId="0" applyNumberFormat="1" applyFill="1" applyBorder="1" applyAlignment="1">
      <alignment horizontal="center" vertical="center" wrapText="1"/>
    </xf>
    <xf numFmtId="4" fontId="43" fillId="0" borderId="8" xfId="0" applyNumberFormat="1" applyFont="1" applyFill="1" applyBorder="1" applyAlignment="1">
      <alignment horizontal="center" vertical="center" wrapText="1"/>
    </xf>
    <xf numFmtId="0" fontId="0" fillId="0" borderId="9" xfId="0" applyFill="1" applyBorder="1" applyAlignment="1">
      <alignment horizontal="center" vertical="center" wrapText="1"/>
    </xf>
    <xf numFmtId="4" fontId="43" fillId="0" borderId="8" xfId="0" applyNumberFormat="1" applyFont="1"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4" fontId="39" fillId="0" borderId="10" xfId="0" applyNumberFormat="1" applyFont="1" applyFill="1" applyBorder="1" applyAlignment="1">
      <alignment horizontal="center" vertical="center" wrapText="1"/>
    </xf>
    <xf numFmtId="4" fontId="41" fillId="0" borderId="10"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4" fontId="41" fillId="27" borderId="0" xfId="0" applyNumberFormat="1" applyFont="1" applyFill="1" applyAlignment="1">
      <alignment horizontal="left" vertical="center" wrapText="1"/>
    </xf>
    <xf numFmtId="0" fontId="0" fillId="0" borderId="0" xfId="0" applyAlignment="1">
      <alignment horizontal="left" vertical="center" wrapText="1"/>
    </xf>
    <xf numFmtId="4" fontId="41" fillId="0" borderId="7"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0" fillId="0" borderId="7" xfId="0" applyFill="1" applyBorder="1" applyAlignment="1">
      <alignment horizontal="center" vertical="center" wrapText="1"/>
    </xf>
    <xf numFmtId="0" fontId="39" fillId="0" borderId="9" xfId="0" applyFont="1" applyFill="1" applyBorder="1" applyAlignment="1">
      <alignment horizontal="center" vertical="center" wrapText="1"/>
    </xf>
    <xf numFmtId="0" fontId="39" fillId="0" borderId="10" xfId="0" applyFont="1" applyFill="1" applyBorder="1" applyAlignment="1">
      <alignment horizontal="center" vertical="center" wrapText="1"/>
    </xf>
    <xf numFmtId="49" fontId="39" fillId="0" borderId="7" xfId="0" applyNumberFormat="1" applyFont="1" applyFill="1" applyBorder="1" applyAlignment="1">
      <alignment horizontal="center" vertical="center" wrapText="1"/>
    </xf>
    <xf numFmtId="0" fontId="39" fillId="0" borderId="8" xfId="0" applyFont="1" applyFill="1" applyBorder="1" applyAlignment="1">
      <alignment horizontal="center" vertical="center" wrapText="1"/>
    </xf>
    <xf numFmtId="4" fontId="43" fillId="0" borderId="10" xfId="0" applyNumberFormat="1" applyFont="1" applyFill="1" applyBorder="1" applyAlignment="1">
      <alignment horizontal="center" vertical="center"/>
    </xf>
    <xf numFmtId="0" fontId="39" fillId="0" borderId="0" xfId="0" applyFont="1"/>
    <xf numFmtId="0" fontId="94" fillId="0" borderId="12" xfId="0" applyFont="1" applyBorder="1" applyAlignment="1">
      <alignment horizontal="left" vertical="center"/>
    </xf>
    <xf numFmtId="0" fontId="96" fillId="0" borderId="12" xfId="0" applyFont="1" applyBorder="1" applyAlignment="1">
      <alignment horizontal="left" vertical="center"/>
    </xf>
    <xf numFmtId="4" fontId="38" fillId="0" borderId="10" xfId="0" applyNumberFormat="1" applyFont="1" applyFill="1" applyBorder="1" applyAlignment="1">
      <alignment horizontal="center" vertical="center" wrapText="1"/>
    </xf>
    <xf numFmtId="49" fontId="39" fillId="0" borderId="10" xfId="0" applyNumberFormat="1" applyFont="1" applyFill="1" applyBorder="1" applyAlignment="1">
      <alignment horizontal="center" vertical="center" wrapText="1"/>
    </xf>
    <xf numFmtId="0" fontId="107" fillId="0" borderId="7" xfId="35" applyFont="1" applyBorder="1" applyAlignment="1">
      <alignment horizontal="center" vertical="center" wrapText="1"/>
    </xf>
    <xf numFmtId="0" fontId="9" fillId="0" borderId="7" xfId="0" applyFont="1" applyBorder="1" applyAlignment="1">
      <alignment horizontal="center" vertical="center" wrapText="1"/>
    </xf>
    <xf numFmtId="0" fontId="29" fillId="0" borderId="0" xfId="0" applyFont="1"/>
    <xf numFmtId="0" fontId="29" fillId="0" borderId="0" xfId="35" applyFont="1" applyAlignment="1">
      <alignment horizontal="center" vertical="center" wrapText="1"/>
    </xf>
    <xf numFmtId="0" fontId="12" fillId="0" borderId="0" xfId="35" applyFont="1" applyAlignment="1">
      <alignment horizontal="center" vertical="center" wrapText="1"/>
    </xf>
    <xf numFmtId="0" fontId="11" fillId="0" borderId="7" xfId="35" applyFont="1" applyBorder="1" applyAlignment="1">
      <alignment horizontal="center" vertical="center" wrapText="1"/>
    </xf>
    <xf numFmtId="0" fontId="71" fillId="0" borderId="0" xfId="35" applyFont="1"/>
    <xf numFmtId="0" fontId="14" fillId="0" borderId="7" xfId="35" applyFont="1" applyBorder="1" applyAlignment="1">
      <alignment horizontal="center" vertical="center" wrapText="1"/>
    </xf>
    <xf numFmtId="0" fontId="14" fillId="0" borderId="7" xfId="0" applyFont="1" applyBorder="1" applyAlignment="1">
      <alignment horizontal="center" vertical="center" wrapText="1"/>
    </xf>
    <xf numFmtId="0" fontId="9" fillId="0" borderId="7" xfId="0" applyFont="1" applyBorder="1" applyAlignment="1">
      <alignment horizontal="center" vertical="center"/>
    </xf>
    <xf numFmtId="0" fontId="14" fillId="0" borderId="7" xfId="0" applyFont="1" applyBorder="1" applyAlignment="1">
      <alignment horizontal="center" vertical="center"/>
    </xf>
    <xf numFmtId="164" fontId="32" fillId="0" borderId="8" xfId="30" applyNumberFormat="1" applyFont="1" applyFill="1" applyBorder="1" applyAlignment="1">
      <alignment horizontal="center" vertical="center"/>
    </xf>
    <xf numFmtId="4" fontId="32" fillId="0" borderId="8" xfId="30" applyNumberFormat="1" applyFont="1" applyFill="1" applyBorder="1" applyAlignment="1">
      <alignment horizontal="center" vertical="center"/>
    </xf>
    <xf numFmtId="4" fontId="0" fillId="0" borderId="9" xfId="0" applyNumberFormat="1" applyFill="1" applyBorder="1" applyAlignment="1">
      <alignment horizontal="center" vertical="center"/>
    </xf>
    <xf numFmtId="4" fontId="0" fillId="0" borderId="10" xfId="0" applyNumberFormat="1" applyFill="1" applyBorder="1" applyAlignment="1">
      <alignment horizontal="center" vertical="center"/>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10" fillId="0" borderId="0" xfId="35" applyFont="1" applyAlignment="1">
      <alignment horizontal="center" vertical="center"/>
    </xf>
    <xf numFmtId="0" fontId="46" fillId="0" borderId="0" xfId="35" applyFont="1" applyAlignment="1">
      <alignment horizontal="center" vertical="center" wrapText="1"/>
    </xf>
    <xf numFmtId="49" fontId="29" fillId="0" borderId="8" xfId="0" applyNumberFormat="1" applyFont="1" applyFill="1" applyBorder="1" applyAlignment="1">
      <alignment horizontal="center" vertical="center" wrapText="1"/>
    </xf>
    <xf numFmtId="0" fontId="54" fillId="0" borderId="9" xfId="0" applyFont="1" applyFill="1" applyBorder="1" applyAlignment="1">
      <alignment horizontal="center" vertical="center" wrapText="1"/>
    </xf>
    <xf numFmtId="0" fontId="54" fillId="0" borderId="10" xfId="0" applyFont="1" applyFill="1" applyBorder="1" applyAlignment="1">
      <alignment horizontal="center" vertical="center" wrapText="1"/>
    </xf>
    <xf numFmtId="0" fontId="99" fillId="0" borderId="12" xfId="0" applyFont="1" applyBorder="1" applyAlignment="1">
      <alignment horizontal="left" vertical="center"/>
    </xf>
    <xf numFmtId="0" fontId="0" fillId="0" borderId="12" xfId="0" applyBorder="1" applyAlignment="1">
      <alignment horizontal="left" vertical="center"/>
    </xf>
    <xf numFmtId="0" fontId="13" fillId="0" borderId="0" xfId="0" applyFont="1" applyAlignment="1">
      <alignment horizontal="center" vertical="center"/>
    </xf>
    <xf numFmtId="0" fontId="73" fillId="0" borderId="0" xfId="36" applyFont="1" applyAlignment="1">
      <alignment horizontal="center"/>
    </xf>
    <xf numFmtId="0" fontId="73" fillId="0" borderId="0" xfId="0" applyFont="1" applyAlignment="1">
      <alignment horizontal="center"/>
    </xf>
    <xf numFmtId="0" fontId="0" fillId="0" borderId="0" xfId="0" applyAlignment="1">
      <alignment horizontal="center"/>
    </xf>
    <xf numFmtId="0" fontId="73" fillId="0" borderId="0" xfId="36" applyFont="1" applyAlignment="1">
      <alignment horizontal="center" vertical="top"/>
    </xf>
    <xf numFmtId="0" fontId="0" fillId="0" borderId="0" xfId="0" applyAlignment="1">
      <alignment vertical="top"/>
    </xf>
    <xf numFmtId="2" fontId="75" fillId="0" borderId="7" xfId="36" applyNumberFormat="1" applyFont="1" applyFill="1" applyBorder="1" applyAlignment="1">
      <alignment horizontal="center" vertical="center" wrapText="1"/>
    </xf>
    <xf numFmtId="0" fontId="0" fillId="0" borderId="7" xfId="0" applyFill="1" applyBorder="1" applyAlignment="1">
      <alignment horizontal="center"/>
    </xf>
    <xf numFmtId="0" fontId="13" fillId="0" borderId="0" xfId="36" applyFont="1" applyAlignment="1">
      <alignment horizontal="left" vertical="top" wrapText="1"/>
    </xf>
    <xf numFmtId="2" fontId="11" fillId="0" borderId="17" xfId="36" applyNumberFormat="1" applyFont="1" applyBorder="1" applyAlignment="1">
      <alignment horizontal="center" vertical="center" wrapText="1"/>
    </xf>
    <xf numFmtId="0" fontId="0" fillId="0" borderId="18" xfId="0" applyBorder="1" applyAlignment="1">
      <alignment horizontal="center"/>
    </xf>
    <xf numFmtId="0" fontId="0" fillId="0" borderId="14" xfId="0" applyBorder="1" applyAlignment="1">
      <alignment horizontal="center"/>
    </xf>
    <xf numFmtId="2" fontId="73" fillId="0" borderId="17" xfId="36" applyNumberFormat="1" applyFont="1" applyBorder="1" applyAlignment="1">
      <alignment horizontal="center" vertical="center"/>
    </xf>
    <xf numFmtId="2" fontId="73" fillId="29" borderId="7" xfId="36" applyNumberFormat="1" applyFont="1" applyFill="1" applyBorder="1" applyAlignment="1">
      <alignment horizontal="center" vertical="center" wrapText="1"/>
    </xf>
    <xf numFmtId="0" fontId="0" fillId="0" borderId="7" xfId="0" applyBorder="1" applyAlignment="1">
      <alignment horizontal="center"/>
    </xf>
    <xf numFmtId="2" fontId="73" fillId="0" borderId="7" xfId="36" applyNumberFormat="1" applyFont="1" applyFill="1" applyBorder="1" applyAlignment="1">
      <alignment horizontal="center" vertical="center" wrapText="1"/>
    </xf>
    <xf numFmtId="0" fontId="68" fillId="0" borderId="0" xfId="36">
      <alignment vertical="top"/>
    </xf>
    <xf numFmtId="0" fontId="10" fillId="0" borderId="0" xfId="36" applyFont="1" applyAlignment="1">
      <alignment horizontal="center" vertical="center" wrapText="1"/>
    </xf>
    <xf numFmtId="0" fontId="74" fillId="0" borderId="0" xfId="0" applyFont="1" applyAlignment="1">
      <alignment horizontal="center" vertical="center"/>
    </xf>
    <xf numFmtId="2" fontId="11" fillId="29" borderId="7" xfId="36" applyNumberFormat="1" applyFont="1" applyFill="1" applyBorder="1" applyAlignment="1">
      <alignment horizontal="center" vertical="center"/>
    </xf>
    <xf numFmtId="2" fontId="75" fillId="0" borderId="7" xfId="38" applyNumberFormat="1" applyFont="1" applyFill="1" applyBorder="1" applyAlignment="1" applyProtection="1">
      <alignment horizontal="center" vertical="center" wrapText="1"/>
      <protection locked="0"/>
    </xf>
    <xf numFmtId="0" fontId="11" fillId="0" borderId="0" xfId="0" applyFont="1" applyAlignment="1">
      <alignment horizontal="center"/>
    </xf>
    <xf numFmtId="0" fontId="11" fillId="0" borderId="11" xfId="0" applyFont="1" applyBorder="1" applyAlignment="1">
      <alignment horizontal="center"/>
    </xf>
    <xf numFmtId="0" fontId="0" fillId="0" borderId="11" xfId="0" applyBorder="1" applyAlignment="1">
      <alignment horizontal="center"/>
    </xf>
    <xf numFmtId="0" fontId="97" fillId="29" borderId="17" xfId="0" applyFont="1" applyFill="1" applyBorder="1" applyAlignment="1">
      <alignment horizontal="center" vertical="center"/>
    </xf>
    <xf numFmtId="0" fontId="97" fillId="29" borderId="18" xfId="0" applyFont="1" applyFill="1" applyBorder="1" applyAlignment="1">
      <alignment horizontal="center" vertical="center"/>
    </xf>
    <xf numFmtId="0" fontId="97" fillId="29" borderId="14" xfId="0" applyFont="1" applyFill="1" applyBorder="1" applyAlignment="1">
      <alignment horizontal="center" vertical="center"/>
    </xf>
    <xf numFmtId="0" fontId="10" fillId="0" borderId="0" xfId="36" applyFont="1" applyAlignment="1">
      <alignment horizontal="left" vertical="top" wrapText="1"/>
    </xf>
    <xf numFmtId="0" fontId="98" fillId="0" borderId="0" xfId="0" applyFont="1" applyAlignment="1">
      <alignment horizontal="right" vertical="center"/>
    </xf>
    <xf numFmtId="0" fontId="10" fillId="0" borderId="0" xfId="0" applyFont="1" applyAlignment="1">
      <alignment horizontal="right" vertical="center"/>
    </xf>
    <xf numFmtId="0" fontId="10" fillId="0" borderId="0" xfId="0" applyFont="1" applyAlignment="1">
      <alignment horizontal="left"/>
    </xf>
    <xf numFmtId="49" fontId="39" fillId="0" borderId="9" xfId="0" applyNumberFormat="1" applyFont="1" applyFill="1" applyBorder="1" applyAlignment="1">
      <alignment horizontal="center" vertical="center" wrapText="1"/>
    </xf>
    <xf numFmtId="164" fontId="110" fillId="0" borderId="8" xfId="30" applyNumberFormat="1" applyFont="1" applyFill="1" applyBorder="1" applyAlignment="1">
      <alignment horizontal="center" vertical="center" wrapText="1"/>
    </xf>
    <xf numFmtId="4" fontId="43" fillId="0" borderId="8" xfId="38" applyNumberFormat="1" applyFont="1" applyFill="1" applyBorder="1" applyAlignment="1" applyProtection="1">
      <alignment horizontal="center" vertical="center" wrapText="1"/>
      <protection locked="0"/>
    </xf>
    <xf numFmtId="4" fontId="43" fillId="0" borderId="9" xfId="38" applyNumberFormat="1" applyFont="1" applyFill="1" applyBorder="1" applyAlignment="1" applyProtection="1">
      <alignment horizontal="center" vertical="center" wrapText="1"/>
      <protection locked="0"/>
    </xf>
    <xf numFmtId="4" fontId="44" fillId="28" borderId="16" xfId="0" applyNumberFormat="1" applyFont="1" applyFill="1" applyBorder="1" applyAlignment="1">
      <alignment horizontal="center" vertical="center" wrapText="1"/>
    </xf>
    <xf numFmtId="4" fontId="43" fillId="0" borderId="8" xfId="38" applyNumberFormat="1" applyFont="1" applyFill="1" applyBorder="1" applyAlignment="1">
      <alignment horizontal="center" vertical="center" wrapText="1"/>
    </xf>
    <xf numFmtId="4" fontId="43" fillId="0" borderId="9" xfId="38" applyNumberFormat="1" applyFont="1" applyFill="1" applyBorder="1" applyAlignment="1">
      <alignment horizontal="center" vertical="center" wrapText="1"/>
    </xf>
    <xf numFmtId="4" fontId="43" fillId="0" borderId="9" xfId="0" applyNumberFormat="1" applyFont="1" applyFill="1" applyBorder="1" applyAlignment="1">
      <alignment horizontal="center" vertical="center" wrapText="1"/>
    </xf>
    <xf numFmtId="0" fontId="0" fillId="0" borderId="9" xfId="0" applyFill="1" applyBorder="1"/>
    <xf numFmtId="0" fontId="0" fillId="0" borderId="10" xfId="0" applyFill="1" applyBorder="1"/>
    <xf numFmtId="4" fontId="43" fillId="0" borderId="10" xfId="0" applyNumberFormat="1" applyFont="1" applyFill="1" applyBorder="1" applyAlignment="1">
      <alignment horizontal="center" vertical="center" wrapText="1"/>
    </xf>
    <xf numFmtId="4" fontId="43" fillId="0" borderId="10" xfId="38" applyNumberFormat="1" applyFont="1" applyFill="1" applyBorder="1" applyAlignment="1" applyProtection="1">
      <alignment horizontal="center" vertical="center" wrapText="1"/>
      <protection locked="0"/>
    </xf>
    <xf numFmtId="4" fontId="43" fillId="0" borderId="10" xfId="38" applyNumberFormat="1" applyFont="1" applyFill="1" applyBorder="1" applyAlignment="1">
      <alignment horizontal="center" vertical="center" wrapText="1"/>
    </xf>
    <xf numFmtId="4" fontId="39" fillId="0" borderId="9" xfId="0" applyNumberFormat="1" applyFont="1" applyFill="1" applyBorder="1" applyAlignment="1">
      <alignment horizontal="center" vertical="center" wrapText="1"/>
    </xf>
    <xf numFmtId="4" fontId="0" fillId="0" borderId="9" xfId="0" applyNumberFormat="1" applyFill="1" applyBorder="1" applyAlignment="1">
      <alignment horizontal="center" vertical="center" wrapText="1"/>
    </xf>
    <xf numFmtId="0" fontId="119" fillId="0" borderId="7" xfId="86" applyFont="1" applyBorder="1" applyAlignment="1">
      <alignment horizontal="center" vertical="center" wrapText="1"/>
    </xf>
    <xf numFmtId="0" fontId="117" fillId="0" borderId="0" xfId="86" applyFont="1" applyAlignment="1">
      <alignment horizontal="right" vertical="center"/>
    </xf>
    <xf numFmtId="0" fontId="118" fillId="0" borderId="0" xfId="86" applyFont="1" applyAlignment="1">
      <alignment horizontal="center" vertical="center"/>
    </xf>
    <xf numFmtId="49" fontId="118" fillId="31" borderId="0" xfId="86" applyNumberFormat="1" applyFont="1" applyFill="1" applyAlignment="1">
      <alignment horizontal="center" vertical="center" wrapText="1"/>
    </xf>
    <xf numFmtId="0" fontId="0" fillId="0" borderId="9" xfId="0" applyBorder="1" applyAlignment="1">
      <alignment horizontal="center" vertical="center" wrapText="1"/>
    </xf>
    <xf numFmtId="0" fontId="39" fillId="0" borderId="9" xfId="0" applyFont="1" applyBorder="1" applyAlignment="1">
      <alignment horizontal="center" vertical="center" wrapText="1"/>
    </xf>
    <xf numFmtId="0" fontId="39" fillId="0" borderId="10" xfId="0" applyFont="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117" fillId="0" borderId="0" xfId="86" applyFont="1" applyAlignment="1">
      <alignment horizontal="center" vertical="center" wrapText="1"/>
    </xf>
  </cellXfs>
  <cellStyles count="95">
    <cellStyle name="20% - Акцент1" xfId="46"/>
    <cellStyle name="20% - Акцент2" xfId="47"/>
    <cellStyle name="20% - Акцент3" xfId="48"/>
    <cellStyle name="20% - Акцент4" xfId="49"/>
    <cellStyle name="20% - Акцент5" xfId="50"/>
    <cellStyle name="20% - Акцент6" xfId="51"/>
    <cellStyle name="40% - Акцент1" xfId="52"/>
    <cellStyle name="40% - Акцент2" xfId="53"/>
    <cellStyle name="40% - Акцент3" xfId="54"/>
    <cellStyle name="40% - Акцент4" xfId="55"/>
    <cellStyle name="40% - Акцент5" xfId="56"/>
    <cellStyle name="40% - Акцент6" xfId="57"/>
    <cellStyle name="60% - Акцент1" xfId="58"/>
    <cellStyle name="60% - Акцент2" xfId="59"/>
    <cellStyle name="60% - Акцент3" xfId="60"/>
    <cellStyle name="60% - Акцент4" xfId="61"/>
    <cellStyle name="60% - Акцент5" xfId="62"/>
    <cellStyle name="60% - Акцент6" xfId="63"/>
    <cellStyle name="Excel Built-in Обычный_УКБ до бюджету 2016р ост" xfId="84"/>
    <cellStyle name="Normal_meresha_07" xfId="1"/>
    <cellStyle name="Акцент1" xfId="64"/>
    <cellStyle name="Акцент2" xfId="65"/>
    <cellStyle name="Акцент3" xfId="66"/>
    <cellStyle name="Акцент4" xfId="67"/>
    <cellStyle name="Акцент5" xfId="68"/>
    <cellStyle name="Акцент6" xfId="69"/>
    <cellStyle name="Ввід" xfId="2"/>
    <cellStyle name="Ввод " xfId="70"/>
    <cellStyle name="Вывод" xfId="71"/>
    <cellStyle name="Вычисление" xfId="72"/>
    <cellStyle name="Гіперпосилання 2" xfId="73"/>
    <cellStyle name="Добре" xfId="3"/>
    <cellStyle name="Заголовок 1" xfId="4" builtinId="16" customBuiltin="1"/>
    <cellStyle name="Заголовок 2" xfId="5" builtinId="17" customBuiltin="1"/>
    <cellStyle name="Заголовок 3" xfId="6" builtinId="18" customBuiltin="1"/>
    <cellStyle name="Заголовок 4" xfId="7" builtinId="19" customBuiltin="1"/>
    <cellStyle name="Звичайний" xfId="0" builtinId="0"/>
    <cellStyle name="Звичайний 10" xfId="8"/>
    <cellStyle name="Звичайний 11" xfId="9"/>
    <cellStyle name="Звичайний 12" xfId="10"/>
    <cellStyle name="Звичайний 13" xfId="11"/>
    <cellStyle name="Звичайний 14" xfId="12"/>
    <cellStyle name="Звичайний 15" xfId="13"/>
    <cellStyle name="Звичайний 16" xfId="14"/>
    <cellStyle name="Звичайний 17" xfId="15"/>
    <cellStyle name="Звичайний 18" xfId="16"/>
    <cellStyle name="Звичайний 19" xfId="17"/>
    <cellStyle name="Звичайний 2" xfId="18"/>
    <cellStyle name="Звичайний 2 2" xfId="19"/>
    <cellStyle name="Звичайний 2 2 2" xfId="88"/>
    <cellStyle name="Звичайний 20" xfId="20"/>
    <cellStyle name="Звичайний 21" xfId="86"/>
    <cellStyle name="Звичайний 21 2" xfId="94"/>
    <cellStyle name="Звичайний 27 3 2" xfId="87"/>
    <cellStyle name="Звичайний 3" xfId="21"/>
    <cellStyle name="Звичайний 3 2" xfId="22"/>
    <cellStyle name="Звичайний 3 2 2" xfId="89"/>
    <cellStyle name="Звичайний 4" xfId="23"/>
    <cellStyle name="Звичайний 4 2" xfId="24"/>
    <cellStyle name="Звичайний 4 2 2" xfId="90"/>
    <cellStyle name="Звичайний 5" xfId="25"/>
    <cellStyle name="Звичайний 6" xfId="26"/>
    <cellStyle name="Звичайний 7" xfId="27"/>
    <cellStyle name="Звичайний 8" xfId="28"/>
    <cellStyle name="Звичайний 9" xfId="29"/>
    <cellStyle name="Звичайний_Додаток _ 3 зм_ни 4575" xfId="30"/>
    <cellStyle name="Зв'язана клітинка" xfId="41"/>
    <cellStyle name="Итог" xfId="74"/>
    <cellStyle name="Контрольна клітинка" xfId="31"/>
    <cellStyle name="Контрольная ячейка" xfId="75"/>
    <cellStyle name="Назва" xfId="32"/>
    <cellStyle name="Название" xfId="76"/>
    <cellStyle name="Нейтральный" xfId="77"/>
    <cellStyle name="Обычный 2" xfId="33"/>
    <cellStyle name="Обычный 2 2" xfId="34"/>
    <cellStyle name="Обычный 2 2 2" xfId="91"/>
    <cellStyle name="Обычный 3" xfId="35"/>
    <cellStyle name="Обычный 4 3" xfId="85"/>
    <cellStyle name="Обычный_Plan_kapbud_2006 уточн." xfId="36"/>
    <cellStyle name="Обычный_дод.1" xfId="37"/>
    <cellStyle name="Обычный_Додаток 2 до бюджету 2000 року" xfId="38"/>
    <cellStyle name="Обычный_Додаток №1" xfId="39"/>
    <cellStyle name="Обычный_КАПІТАЛЬНІ  ВКЛАДЕННЯ 2015 2 2" xfId="45"/>
    <cellStyle name="Обычный_УЖКГ бюджет 2016 Після Ямчука 2" xfId="40"/>
    <cellStyle name="Обычный_УКБ до бюджету 2016р ост 2" xfId="93"/>
    <cellStyle name="Обычный_УКБ до бюджету 2016р ост 3" xfId="92"/>
    <cellStyle name="Плохой" xfId="78"/>
    <cellStyle name="Пояснение" xfId="79"/>
    <cellStyle name="Примечание" xfId="80"/>
    <cellStyle name="Связанная ячейка" xfId="81"/>
    <cellStyle name="Середній" xfId="42"/>
    <cellStyle name="Стиль 1" xfId="43"/>
    <cellStyle name="Текст попередження" xfId="44"/>
    <cellStyle name="Текст предупреждения" xfId="82"/>
    <cellStyle name="Хороший" xfId="83"/>
  </cellStyles>
  <dxfs count="0"/>
  <tableStyles count="0" defaultTableStyle="TableStyleMedium2" defaultPivotStyle="PivotStyleLight16"/>
  <colors>
    <mruColors>
      <color rgb="FF66FFFF"/>
      <color rgb="FFCCFFCC"/>
      <color rgb="FFCCFFFF"/>
      <color rgb="FF99FF99"/>
      <color rgb="FFFFFFCC"/>
      <color rgb="FFFF99FF"/>
      <color rgb="FFFFFF99"/>
      <color rgb="FF66FFCC"/>
      <color rgb="FFFF9900"/>
      <color rgb="FFFB0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dimension ref="A1:G168"/>
  <sheetViews>
    <sheetView showZeros="0" view="pageBreakPreview" topLeftCell="A44" zoomScaleSheetLayoutView="100" workbookViewId="0">
      <selection activeCell="D2" sqref="D2:G2"/>
    </sheetView>
  </sheetViews>
  <sheetFormatPr defaultColWidth="6.85546875" defaultRowHeight="12.75" x14ac:dyDescent="0.2"/>
  <cols>
    <col min="1" max="1" width="10.140625" style="25" customWidth="1"/>
    <col min="2" max="2" width="40.42578125" style="25" customWidth="1"/>
    <col min="3" max="4" width="17.28515625" style="25" customWidth="1"/>
    <col min="5" max="5" width="15.7109375" style="25" customWidth="1"/>
    <col min="6" max="6" width="14.5703125" style="25" customWidth="1"/>
    <col min="7" max="252" width="7.85546875" style="25" customWidth="1"/>
    <col min="253" max="16384" width="6.85546875" style="25"/>
  </cols>
  <sheetData>
    <row r="1" spans="1:7" ht="15.75" x14ac:dyDescent="0.2">
      <c r="D1" s="456" t="s">
        <v>92</v>
      </c>
      <c r="E1" s="457"/>
      <c r="F1" s="457"/>
      <c r="G1" s="457"/>
    </row>
    <row r="2" spans="1:7" ht="15.75" x14ac:dyDescent="0.2">
      <c r="C2" s="26"/>
      <c r="D2" s="456" t="s">
        <v>1017</v>
      </c>
      <c r="E2" s="458"/>
      <c r="F2" s="458"/>
      <c r="G2" s="458"/>
    </row>
    <row r="3" spans="1:7" ht="6" customHeight="1" x14ac:dyDescent="0.2">
      <c r="C3" s="26"/>
      <c r="D3" s="456"/>
      <c r="E3" s="458"/>
      <c r="F3" s="458"/>
      <c r="G3" s="458"/>
    </row>
    <row r="4" spans="1:7" ht="20.25" hidden="1" x14ac:dyDescent="0.2">
      <c r="A4" s="459"/>
      <c r="B4" s="459"/>
      <c r="C4" s="459"/>
      <c r="D4" s="459"/>
      <c r="E4" s="459"/>
    </row>
    <row r="5" spans="1:7" ht="25.5" customHeight="1" x14ac:dyDescent="0.2">
      <c r="A5" s="459" t="s">
        <v>627</v>
      </c>
      <c r="B5" s="459"/>
      <c r="C5" s="459"/>
      <c r="D5" s="459"/>
      <c r="E5" s="459"/>
    </row>
    <row r="6" spans="1:7" ht="10.5" customHeight="1" x14ac:dyDescent="0.2">
      <c r="B6" s="27"/>
      <c r="C6" s="27"/>
      <c r="D6" s="27"/>
      <c r="E6" s="27"/>
      <c r="F6" s="27" t="s">
        <v>93</v>
      </c>
    </row>
    <row r="7" spans="1:7" s="28" customFormat="1" ht="31.7" customHeight="1" x14ac:dyDescent="0.2">
      <c r="A7" s="460" t="s">
        <v>94</v>
      </c>
      <c r="B7" s="460" t="s">
        <v>95</v>
      </c>
      <c r="C7" s="460" t="s">
        <v>635</v>
      </c>
      <c r="D7" s="460" t="s">
        <v>25</v>
      </c>
      <c r="E7" s="460" t="s">
        <v>84</v>
      </c>
      <c r="F7" s="460"/>
    </row>
    <row r="8" spans="1:7" s="30" customFormat="1" ht="38.25" x14ac:dyDescent="0.25">
      <c r="A8" s="460"/>
      <c r="B8" s="460"/>
      <c r="C8" s="460"/>
      <c r="D8" s="460"/>
      <c r="E8" s="203" t="s">
        <v>635</v>
      </c>
      <c r="F8" s="29" t="s">
        <v>734</v>
      </c>
    </row>
    <row r="9" spans="1:7" s="30" customFormat="1" ht="15.75" x14ac:dyDescent="0.25">
      <c r="A9" s="203">
        <v>1</v>
      </c>
      <c r="B9" s="203">
        <v>2</v>
      </c>
      <c r="C9" s="203">
        <v>3</v>
      </c>
      <c r="D9" s="203">
        <v>4</v>
      </c>
      <c r="E9" s="203">
        <v>5</v>
      </c>
      <c r="F9" s="29">
        <v>6</v>
      </c>
    </row>
    <row r="10" spans="1:7" s="34" customFormat="1" ht="14.25" x14ac:dyDescent="0.2">
      <c r="A10" s="31">
        <v>10000000</v>
      </c>
      <c r="B10" s="32" t="s">
        <v>96</v>
      </c>
      <c r="C10" s="33">
        <f>SUM(D10,E10)</f>
        <v>1759972217.6700001</v>
      </c>
      <c r="D10" s="33">
        <f>SUM(D11,D19,D20,D21,D22,D40)</f>
        <v>1759472217.6700001</v>
      </c>
      <c r="E10" s="33">
        <v>500000</v>
      </c>
      <c r="F10" s="33"/>
    </row>
    <row r="11" spans="1:7" s="39" customFormat="1" ht="25.5" x14ac:dyDescent="0.2">
      <c r="A11" s="35">
        <v>11000000</v>
      </c>
      <c r="B11" s="36" t="s">
        <v>97</v>
      </c>
      <c r="C11" s="37">
        <f t="shared" ref="C11:C79" si="0">SUM(D11,E11)</f>
        <v>1124473717.6700001</v>
      </c>
      <c r="D11" s="37">
        <f>SUM(D12,D17)</f>
        <v>1124473717.6700001</v>
      </c>
      <c r="E11" s="38"/>
      <c r="F11" s="38"/>
    </row>
    <row r="12" spans="1:7" s="39" customFormat="1" ht="14.25" x14ac:dyDescent="0.2">
      <c r="A12" s="31">
        <v>11010000</v>
      </c>
      <c r="B12" s="40" t="s">
        <v>98</v>
      </c>
      <c r="C12" s="37">
        <f t="shared" si="0"/>
        <v>1122833217.6700001</v>
      </c>
      <c r="D12" s="41">
        <f>SUM(D13:D16)</f>
        <v>1122833217.6700001</v>
      </c>
      <c r="E12" s="33"/>
      <c r="F12" s="33"/>
    </row>
    <row r="13" spans="1:7" s="39" customFormat="1" ht="36" x14ac:dyDescent="0.2">
      <c r="A13" s="42">
        <v>11010100</v>
      </c>
      <c r="B13" s="43" t="s">
        <v>99</v>
      </c>
      <c r="C13" s="37">
        <f t="shared" si="0"/>
        <v>944573169.66999996</v>
      </c>
      <c r="D13" s="49">
        <v>944573169.66999996</v>
      </c>
      <c r="E13" s="44"/>
      <c r="F13" s="44"/>
    </row>
    <row r="14" spans="1:7" s="39" customFormat="1" ht="60" x14ac:dyDescent="0.2">
      <c r="A14" s="42">
        <v>11010200</v>
      </c>
      <c r="B14" s="43" t="s">
        <v>100</v>
      </c>
      <c r="C14" s="37">
        <f t="shared" si="0"/>
        <v>145260048</v>
      </c>
      <c r="D14" s="49">
        <v>145260048</v>
      </c>
      <c r="E14" s="44"/>
      <c r="F14" s="44"/>
    </row>
    <row r="15" spans="1:7" s="39" customFormat="1" ht="36" x14ac:dyDescent="0.2">
      <c r="A15" s="42">
        <v>11010400</v>
      </c>
      <c r="B15" s="43" t="s">
        <v>101</v>
      </c>
      <c r="C15" s="37">
        <f t="shared" si="0"/>
        <v>15500000</v>
      </c>
      <c r="D15" s="49">
        <v>15500000</v>
      </c>
      <c r="E15" s="44"/>
      <c r="F15" s="44"/>
    </row>
    <row r="16" spans="1:7" s="30" customFormat="1" ht="36" x14ac:dyDescent="0.25">
      <c r="A16" s="42">
        <v>11010500</v>
      </c>
      <c r="B16" s="43" t="s">
        <v>102</v>
      </c>
      <c r="C16" s="37">
        <f t="shared" si="0"/>
        <v>17500000</v>
      </c>
      <c r="D16" s="49">
        <v>17500000</v>
      </c>
      <c r="E16" s="44"/>
      <c r="F16" s="44"/>
    </row>
    <row r="17" spans="1:6" s="34" customFormat="1" ht="15" x14ac:dyDescent="0.2">
      <c r="A17" s="35">
        <v>11020000</v>
      </c>
      <c r="B17" s="40" t="s">
        <v>103</v>
      </c>
      <c r="C17" s="37">
        <f t="shared" si="0"/>
        <v>1640500</v>
      </c>
      <c r="D17" s="347">
        <v>1640500</v>
      </c>
      <c r="E17" s="46"/>
      <c r="F17" s="46"/>
    </row>
    <row r="18" spans="1:6" s="30" customFormat="1" ht="24" x14ac:dyDescent="0.25">
      <c r="A18" s="42">
        <v>11020200</v>
      </c>
      <c r="B18" s="47" t="s">
        <v>104</v>
      </c>
      <c r="C18" s="37">
        <f t="shared" si="0"/>
        <v>1640500</v>
      </c>
      <c r="D18" s="49">
        <v>1640500</v>
      </c>
      <c r="E18" s="48"/>
      <c r="F18" s="38"/>
    </row>
    <row r="19" spans="1:6" s="50" customFormat="1" ht="26.45" customHeight="1" x14ac:dyDescent="0.2">
      <c r="A19" s="29">
        <v>14021900</v>
      </c>
      <c r="B19" s="36" t="s">
        <v>223</v>
      </c>
      <c r="C19" s="37">
        <f>SUM(D19,E19)</f>
        <v>12350000</v>
      </c>
      <c r="D19" s="37">
        <v>12350000</v>
      </c>
      <c r="E19" s="49"/>
      <c r="F19" s="49"/>
    </row>
    <row r="20" spans="1:6" s="50" customFormat="1" ht="22.7" customHeight="1" x14ac:dyDescent="0.2">
      <c r="A20" s="29">
        <v>14031900</v>
      </c>
      <c r="B20" s="36" t="s">
        <v>224</v>
      </c>
      <c r="C20" s="37">
        <f t="shared" ref="C20:C23" si="1">SUM(D20,E20)</f>
        <v>57865000</v>
      </c>
      <c r="D20" s="37">
        <v>57865000</v>
      </c>
      <c r="E20" s="49"/>
      <c r="F20" s="49"/>
    </row>
    <row r="21" spans="1:6" s="50" customFormat="1" ht="39.75" customHeight="1" x14ac:dyDescent="0.2">
      <c r="A21" s="29">
        <v>14040000</v>
      </c>
      <c r="B21" s="36" t="s">
        <v>105</v>
      </c>
      <c r="C21" s="37">
        <f t="shared" si="1"/>
        <v>78500000</v>
      </c>
      <c r="D21" s="37">
        <v>78500000</v>
      </c>
      <c r="E21" s="49"/>
      <c r="F21" s="49"/>
    </row>
    <row r="22" spans="1:6" s="30" customFormat="1" ht="15" x14ac:dyDescent="0.25">
      <c r="A22" s="31">
        <v>18000000</v>
      </c>
      <c r="B22" s="51" t="s">
        <v>106</v>
      </c>
      <c r="C22" s="37">
        <f t="shared" si="1"/>
        <v>486283500</v>
      </c>
      <c r="D22" s="37">
        <f>SUM(D23,D34,D37)</f>
        <v>486283500</v>
      </c>
      <c r="E22" s="33"/>
      <c r="F22" s="33"/>
    </row>
    <row r="23" spans="1:6" s="30" customFormat="1" ht="15" x14ac:dyDescent="0.25">
      <c r="A23" s="35">
        <v>18010000</v>
      </c>
      <c r="B23" s="52" t="s">
        <v>107</v>
      </c>
      <c r="C23" s="37">
        <f t="shared" si="1"/>
        <v>180683500</v>
      </c>
      <c r="D23" s="41">
        <f>SUM(D24:D33)</f>
        <v>180683500</v>
      </c>
      <c r="E23" s="38"/>
      <c r="F23" s="38"/>
    </row>
    <row r="24" spans="1:6" s="30" customFormat="1" ht="36" x14ac:dyDescent="0.25">
      <c r="A24" s="35">
        <v>18010100</v>
      </c>
      <c r="B24" s="54" t="s">
        <v>108</v>
      </c>
      <c r="C24" s="37">
        <f t="shared" si="0"/>
        <v>175500</v>
      </c>
      <c r="D24" s="49">
        <v>175500</v>
      </c>
      <c r="E24" s="38"/>
      <c r="F24" s="38"/>
    </row>
    <row r="25" spans="1:6" s="30" customFormat="1" ht="36" x14ac:dyDescent="0.25">
      <c r="A25" s="35">
        <v>18010200</v>
      </c>
      <c r="B25" s="54" t="s">
        <v>109</v>
      </c>
      <c r="C25" s="37">
        <f>D25</f>
        <v>11550000</v>
      </c>
      <c r="D25" s="49">
        <v>11550000</v>
      </c>
      <c r="E25" s="38"/>
      <c r="F25" s="38"/>
    </row>
    <row r="26" spans="1:6" s="30" customFormat="1" ht="36" x14ac:dyDescent="0.25">
      <c r="A26" s="35">
        <v>18010300</v>
      </c>
      <c r="B26" s="54" t="s">
        <v>110</v>
      </c>
      <c r="C26" s="37">
        <f t="shared" si="0"/>
        <v>825000</v>
      </c>
      <c r="D26" s="49">
        <v>825000</v>
      </c>
      <c r="E26" s="38"/>
      <c r="F26" s="38"/>
    </row>
    <row r="27" spans="1:6" s="30" customFormat="1" ht="36" x14ac:dyDescent="0.25">
      <c r="A27" s="35">
        <v>18010400</v>
      </c>
      <c r="B27" s="54" t="s">
        <v>111</v>
      </c>
      <c r="C27" s="37">
        <f t="shared" si="0"/>
        <v>8450000</v>
      </c>
      <c r="D27" s="49">
        <v>8450000</v>
      </c>
      <c r="E27" s="38"/>
      <c r="F27" s="38"/>
    </row>
    <row r="28" spans="1:6" s="30" customFormat="1" ht="15" x14ac:dyDescent="0.25">
      <c r="A28" s="35">
        <v>18010500</v>
      </c>
      <c r="B28" s="55" t="s">
        <v>112</v>
      </c>
      <c r="C28" s="37">
        <f t="shared" si="0"/>
        <v>43223000</v>
      </c>
      <c r="D28" s="49">
        <v>43223000</v>
      </c>
      <c r="E28" s="38"/>
      <c r="F28" s="38"/>
    </row>
    <row r="29" spans="1:6" s="30" customFormat="1" ht="15" x14ac:dyDescent="0.25">
      <c r="A29" s="35">
        <v>18010600</v>
      </c>
      <c r="B29" s="54" t="s">
        <v>113</v>
      </c>
      <c r="C29" s="37">
        <f t="shared" si="0"/>
        <v>86660000</v>
      </c>
      <c r="D29" s="49">
        <v>86660000</v>
      </c>
      <c r="E29" s="38"/>
      <c r="F29" s="38"/>
    </row>
    <row r="30" spans="1:6" s="30" customFormat="1" ht="15" x14ac:dyDescent="0.25">
      <c r="A30" s="35">
        <v>18010700</v>
      </c>
      <c r="B30" s="54" t="s">
        <v>114</v>
      </c>
      <c r="C30" s="37">
        <f t="shared" si="0"/>
        <v>2000000</v>
      </c>
      <c r="D30" s="49">
        <v>2000000</v>
      </c>
      <c r="E30" s="38"/>
      <c r="F30" s="38"/>
    </row>
    <row r="31" spans="1:6" s="30" customFormat="1" ht="15" x14ac:dyDescent="0.25">
      <c r="A31" s="35">
        <v>18010900</v>
      </c>
      <c r="B31" s="54" t="s">
        <v>115</v>
      </c>
      <c r="C31" s="37">
        <f t="shared" si="0"/>
        <v>25200000</v>
      </c>
      <c r="D31" s="49">
        <v>25200000</v>
      </c>
      <c r="E31" s="38"/>
      <c r="F31" s="38"/>
    </row>
    <row r="32" spans="1:6" s="34" customFormat="1" ht="15" x14ac:dyDescent="0.2">
      <c r="A32" s="35">
        <v>18011000</v>
      </c>
      <c r="B32" s="54" t="s">
        <v>116</v>
      </c>
      <c r="C32" s="37">
        <f t="shared" si="0"/>
        <v>1700000</v>
      </c>
      <c r="D32" s="49">
        <v>1700000</v>
      </c>
      <c r="E32" s="38"/>
      <c r="F32" s="38"/>
    </row>
    <row r="33" spans="1:6" s="30" customFormat="1" ht="15" x14ac:dyDescent="0.25">
      <c r="A33" s="35">
        <v>18011100</v>
      </c>
      <c r="B33" s="54" t="s">
        <v>117</v>
      </c>
      <c r="C33" s="37">
        <f t="shared" si="0"/>
        <v>900000</v>
      </c>
      <c r="D33" s="49">
        <v>900000</v>
      </c>
      <c r="E33" s="38"/>
      <c r="F33" s="38"/>
    </row>
    <row r="34" spans="1:6" s="30" customFormat="1" ht="15" x14ac:dyDescent="0.25">
      <c r="A34" s="31">
        <v>1803000</v>
      </c>
      <c r="B34" s="56" t="s">
        <v>118</v>
      </c>
      <c r="C34" s="37">
        <f t="shared" si="0"/>
        <v>250000</v>
      </c>
      <c r="D34" s="37">
        <f>SUM(D35:D36)</f>
        <v>250000</v>
      </c>
      <c r="E34" s="33"/>
      <c r="F34" s="33"/>
    </row>
    <row r="35" spans="1:6" s="30" customFormat="1" ht="15" x14ac:dyDescent="0.25">
      <c r="A35" s="35">
        <v>18030100</v>
      </c>
      <c r="B35" s="54" t="s">
        <v>119</v>
      </c>
      <c r="C35" s="37">
        <f t="shared" si="0"/>
        <v>130000</v>
      </c>
      <c r="D35" s="49">
        <v>130000</v>
      </c>
      <c r="E35" s="38"/>
      <c r="F35" s="38"/>
    </row>
    <row r="36" spans="1:6" s="30" customFormat="1" ht="15" x14ac:dyDescent="0.25">
      <c r="A36" s="35">
        <v>18030200</v>
      </c>
      <c r="B36" s="54" t="s">
        <v>120</v>
      </c>
      <c r="C36" s="37">
        <f t="shared" si="0"/>
        <v>120000</v>
      </c>
      <c r="D36" s="49">
        <v>120000</v>
      </c>
      <c r="E36" s="38"/>
      <c r="F36" s="38"/>
    </row>
    <row r="37" spans="1:6" s="30" customFormat="1" ht="15" x14ac:dyDescent="0.25">
      <c r="A37" s="31">
        <v>18050000</v>
      </c>
      <c r="B37" s="52" t="s">
        <v>121</v>
      </c>
      <c r="C37" s="37">
        <f t="shared" si="0"/>
        <v>305350000</v>
      </c>
      <c r="D37" s="37">
        <f>SUM(D38:D39)</f>
        <v>305350000</v>
      </c>
      <c r="E37" s="38"/>
      <c r="F37" s="38"/>
    </row>
    <row r="38" spans="1:6" s="30" customFormat="1" ht="17.45" customHeight="1" x14ac:dyDescent="0.25">
      <c r="A38" s="35">
        <v>18050300</v>
      </c>
      <c r="B38" s="43" t="s">
        <v>122</v>
      </c>
      <c r="C38" s="37">
        <f t="shared" si="0"/>
        <v>54877600</v>
      </c>
      <c r="D38" s="49">
        <v>54877600</v>
      </c>
      <c r="E38" s="38"/>
      <c r="F38" s="38"/>
    </row>
    <row r="39" spans="1:6" s="34" customFormat="1" ht="15" x14ac:dyDescent="0.2">
      <c r="A39" s="35">
        <v>18050400</v>
      </c>
      <c r="B39" s="54" t="s">
        <v>123</v>
      </c>
      <c r="C39" s="37">
        <f t="shared" si="0"/>
        <v>250472400</v>
      </c>
      <c r="D39" s="49">
        <v>250472400</v>
      </c>
      <c r="E39" s="38"/>
      <c r="F39" s="38"/>
    </row>
    <row r="40" spans="1:6" s="30" customFormat="1" ht="15" x14ac:dyDescent="0.25">
      <c r="A40" s="31">
        <v>1901000</v>
      </c>
      <c r="B40" s="51" t="s">
        <v>124</v>
      </c>
      <c r="C40" s="37">
        <f t="shared" si="0"/>
        <v>500000</v>
      </c>
      <c r="D40" s="33">
        <f>SUM(D41:D43)</f>
        <v>0</v>
      </c>
      <c r="E40" s="33">
        <v>500000</v>
      </c>
      <c r="F40" s="33"/>
    </row>
    <row r="41" spans="1:6" s="30" customFormat="1" ht="36" x14ac:dyDescent="0.25">
      <c r="A41" s="35">
        <v>19010100</v>
      </c>
      <c r="B41" s="43" t="s">
        <v>125</v>
      </c>
      <c r="C41" s="37">
        <f t="shared" si="0"/>
        <v>205000</v>
      </c>
      <c r="D41" s="38"/>
      <c r="E41" s="49">
        <v>205000</v>
      </c>
      <c r="F41" s="38"/>
    </row>
    <row r="42" spans="1:6" s="50" customFormat="1" ht="24" x14ac:dyDescent="0.2">
      <c r="A42" s="35">
        <v>19010200</v>
      </c>
      <c r="B42" s="43" t="s">
        <v>126</v>
      </c>
      <c r="C42" s="37">
        <f t="shared" si="0"/>
        <v>110000</v>
      </c>
      <c r="D42" s="38"/>
      <c r="E42" s="49">
        <v>110000</v>
      </c>
      <c r="F42" s="38"/>
    </row>
    <row r="43" spans="1:6" s="30" customFormat="1" ht="36" x14ac:dyDescent="0.25">
      <c r="A43" s="35">
        <v>19010300</v>
      </c>
      <c r="B43" s="43" t="s">
        <v>127</v>
      </c>
      <c r="C43" s="37">
        <f t="shared" si="0"/>
        <v>185000</v>
      </c>
      <c r="D43" s="38"/>
      <c r="E43" s="49">
        <v>185000</v>
      </c>
      <c r="F43" s="38"/>
    </row>
    <row r="44" spans="1:6" s="30" customFormat="1" ht="15" x14ac:dyDescent="0.25">
      <c r="A44" s="31">
        <v>20000000</v>
      </c>
      <c r="B44" s="32" t="s">
        <v>128</v>
      </c>
      <c r="C44" s="33">
        <f t="shared" si="0"/>
        <v>213640230</v>
      </c>
      <c r="D44" s="33">
        <f>SUM(D45,D46,D47,D50,D51,D60,D64)</f>
        <v>74820000</v>
      </c>
      <c r="E44" s="37">
        <f>SUM(E45,E51,E60,E56,E64)</f>
        <v>138820230</v>
      </c>
      <c r="F44" s="37">
        <f>SUM(F45,F51,F60,F56)</f>
        <v>18000000</v>
      </c>
    </row>
    <row r="45" spans="1:6" s="30" customFormat="1" ht="41.25" customHeight="1" x14ac:dyDescent="0.25">
      <c r="A45" s="35">
        <v>21010300</v>
      </c>
      <c r="B45" s="57" t="s">
        <v>129</v>
      </c>
      <c r="C45" s="37">
        <f t="shared" si="0"/>
        <v>1400000</v>
      </c>
      <c r="D45" s="49">
        <v>1400000</v>
      </c>
      <c r="E45" s="38"/>
      <c r="F45" s="38"/>
    </row>
    <row r="46" spans="1:6" s="30" customFormat="1" ht="27" customHeight="1" x14ac:dyDescent="0.25">
      <c r="A46" s="35">
        <v>21050000</v>
      </c>
      <c r="B46" s="57" t="s">
        <v>130</v>
      </c>
      <c r="C46" s="37">
        <f t="shared" si="0"/>
        <v>12500000</v>
      </c>
      <c r="D46" s="49">
        <v>12500000</v>
      </c>
      <c r="E46" s="38"/>
      <c r="F46" s="38"/>
    </row>
    <row r="47" spans="1:6" s="50" customFormat="1" ht="27" x14ac:dyDescent="0.2">
      <c r="A47" s="58">
        <v>21800000</v>
      </c>
      <c r="B47" s="59" t="s">
        <v>131</v>
      </c>
      <c r="C47" s="37">
        <f t="shared" si="0"/>
        <v>2300000</v>
      </c>
      <c r="D47" s="41">
        <f>SUM(D48:D49)</f>
        <v>2300000</v>
      </c>
      <c r="E47" s="41"/>
      <c r="F47" s="41"/>
    </row>
    <row r="48" spans="1:6" s="30" customFormat="1" ht="15" x14ac:dyDescent="0.25">
      <c r="A48" s="42">
        <v>21081100</v>
      </c>
      <c r="B48" s="60" t="s">
        <v>132</v>
      </c>
      <c r="C48" s="37">
        <f>SUM(D48,E48)</f>
        <v>1300000</v>
      </c>
      <c r="D48" s="49">
        <v>1300000</v>
      </c>
      <c r="E48" s="38"/>
      <c r="F48" s="38"/>
    </row>
    <row r="49" spans="1:6" s="30" customFormat="1" ht="36" x14ac:dyDescent="0.25">
      <c r="A49" s="35">
        <v>21081500</v>
      </c>
      <c r="B49" s="43" t="s">
        <v>133</v>
      </c>
      <c r="C49" s="37">
        <f>SUM(D49,E49)</f>
        <v>1000000</v>
      </c>
      <c r="D49" s="49">
        <v>1000000</v>
      </c>
      <c r="E49" s="38"/>
      <c r="F49" s="38"/>
    </row>
    <row r="50" spans="1:6" s="150" customFormat="1" ht="15" x14ac:dyDescent="0.25">
      <c r="A50" s="149">
        <v>21081700</v>
      </c>
      <c r="B50" s="174" t="s">
        <v>621</v>
      </c>
      <c r="C50" s="41">
        <f>SUM(D50,E50)</f>
        <v>9000000</v>
      </c>
      <c r="D50" s="41">
        <v>9000000</v>
      </c>
      <c r="E50" s="53"/>
      <c r="F50" s="53"/>
    </row>
    <row r="51" spans="1:6" s="30" customFormat="1" ht="27" x14ac:dyDescent="0.25">
      <c r="A51" s="31">
        <v>22000000</v>
      </c>
      <c r="B51" s="40" t="s">
        <v>134</v>
      </c>
      <c r="C51" s="37">
        <f t="shared" si="0"/>
        <v>40020000</v>
      </c>
      <c r="D51" s="49">
        <f>SUM(D52:D56)</f>
        <v>40020000</v>
      </c>
      <c r="E51" s="38"/>
      <c r="F51" s="38"/>
    </row>
    <row r="52" spans="1:6" s="30" customFormat="1" ht="38.25" x14ac:dyDescent="0.25">
      <c r="A52" s="35">
        <v>22010300</v>
      </c>
      <c r="B52" s="61" t="s">
        <v>227</v>
      </c>
      <c r="C52" s="37">
        <f t="shared" si="0"/>
        <v>905000</v>
      </c>
      <c r="D52" s="49">
        <v>905000</v>
      </c>
      <c r="E52" s="38"/>
      <c r="F52" s="38"/>
    </row>
    <row r="53" spans="1:6" s="30" customFormat="1" ht="25.5" x14ac:dyDescent="0.25">
      <c r="A53" s="35">
        <v>22012600</v>
      </c>
      <c r="B53" s="61" t="s">
        <v>135</v>
      </c>
      <c r="C53" s="37">
        <f t="shared" si="0"/>
        <v>1080000</v>
      </c>
      <c r="D53" s="49">
        <v>1080000</v>
      </c>
      <c r="E53" s="38"/>
      <c r="F53" s="38"/>
    </row>
    <row r="54" spans="1:6" s="62" customFormat="1" ht="15" x14ac:dyDescent="0.2">
      <c r="A54" s="35">
        <v>22012500</v>
      </c>
      <c r="B54" s="43" t="s">
        <v>136</v>
      </c>
      <c r="C54" s="37">
        <f t="shared" si="0"/>
        <v>25085000</v>
      </c>
      <c r="D54" s="49">
        <v>25085000</v>
      </c>
      <c r="E54" s="38"/>
      <c r="F54" s="38"/>
    </row>
    <row r="55" spans="1:6" s="30" customFormat="1" ht="36" x14ac:dyDescent="0.25">
      <c r="A55" s="42">
        <v>22080400</v>
      </c>
      <c r="B55" s="60" t="s">
        <v>137</v>
      </c>
      <c r="C55" s="37">
        <f t="shared" si="0"/>
        <v>12100000</v>
      </c>
      <c r="D55" s="49">
        <v>12100000</v>
      </c>
      <c r="E55" s="38"/>
      <c r="F55" s="38"/>
    </row>
    <row r="56" spans="1:6" s="30" customFormat="1" ht="15" x14ac:dyDescent="0.25">
      <c r="A56" s="63">
        <v>22090000</v>
      </c>
      <c r="B56" s="64" t="s">
        <v>138</v>
      </c>
      <c r="C56" s="37">
        <f t="shared" si="0"/>
        <v>850000</v>
      </c>
      <c r="D56" s="37">
        <f>SUM(D57:D59)</f>
        <v>850000</v>
      </c>
      <c r="E56" s="65"/>
      <c r="F56" s="65"/>
    </row>
    <row r="57" spans="1:6" s="30" customFormat="1" ht="36" x14ac:dyDescent="0.25">
      <c r="A57" s="42">
        <v>22090100</v>
      </c>
      <c r="B57" s="54" t="s">
        <v>139</v>
      </c>
      <c r="C57" s="37">
        <f t="shared" si="0"/>
        <v>235000</v>
      </c>
      <c r="D57" s="49">
        <v>235000</v>
      </c>
      <c r="E57" s="38"/>
      <c r="F57" s="38"/>
    </row>
    <row r="58" spans="1:6" s="30" customFormat="1" ht="15" x14ac:dyDescent="0.25">
      <c r="A58" s="42">
        <v>22090200</v>
      </c>
      <c r="B58" s="54" t="s">
        <v>140</v>
      </c>
      <c r="C58" s="37">
        <f t="shared" si="0"/>
        <v>115000</v>
      </c>
      <c r="D58" s="49">
        <v>115000</v>
      </c>
      <c r="E58" s="38"/>
      <c r="F58" s="38"/>
    </row>
    <row r="59" spans="1:6" s="39" customFormat="1" ht="36" x14ac:dyDescent="0.2">
      <c r="A59" s="42">
        <v>22090400</v>
      </c>
      <c r="B59" s="54" t="s">
        <v>141</v>
      </c>
      <c r="C59" s="37">
        <f t="shared" si="0"/>
        <v>500000</v>
      </c>
      <c r="D59" s="49">
        <v>500000</v>
      </c>
      <c r="E59" s="38"/>
      <c r="F59" s="38"/>
    </row>
    <row r="60" spans="1:6" s="30" customFormat="1" ht="15" x14ac:dyDescent="0.25">
      <c r="A60" s="31">
        <v>24000000</v>
      </c>
      <c r="B60" s="64" t="s">
        <v>142</v>
      </c>
      <c r="C60" s="33">
        <f t="shared" si="0"/>
        <v>27600000</v>
      </c>
      <c r="D60" s="45">
        <f>D61+D62+D63</f>
        <v>9600000</v>
      </c>
      <c r="E60" s="45">
        <f>E61+E63</f>
        <v>18000000</v>
      </c>
      <c r="F60" s="33">
        <v>18000000</v>
      </c>
    </row>
    <row r="61" spans="1:6" s="30" customFormat="1" ht="15" x14ac:dyDescent="0.25">
      <c r="A61" s="42">
        <v>24060300</v>
      </c>
      <c r="B61" s="43" t="s">
        <v>143</v>
      </c>
      <c r="C61" s="37">
        <f t="shared" si="0"/>
        <v>6000000</v>
      </c>
      <c r="D61" s="348">
        <v>6000000</v>
      </c>
      <c r="E61" s="46"/>
      <c r="F61" s="46"/>
    </row>
    <row r="62" spans="1:6" s="30" customFormat="1" ht="60" x14ac:dyDescent="0.25">
      <c r="A62" s="42">
        <v>24062200</v>
      </c>
      <c r="B62" s="43" t="s">
        <v>622</v>
      </c>
      <c r="C62" s="37">
        <f t="shared" si="0"/>
        <v>3600000</v>
      </c>
      <c r="D62" s="348">
        <v>3600000</v>
      </c>
      <c r="E62" s="46"/>
      <c r="F62" s="46"/>
    </row>
    <row r="63" spans="1:6" s="34" customFormat="1" ht="24" x14ac:dyDescent="0.2">
      <c r="A63" s="42">
        <v>24170000</v>
      </c>
      <c r="B63" s="47" t="s">
        <v>144</v>
      </c>
      <c r="C63" s="37">
        <f t="shared" si="0"/>
        <v>18000000</v>
      </c>
      <c r="D63" s="46"/>
      <c r="E63" s="348">
        <v>18000000</v>
      </c>
      <c r="F63" s="348">
        <v>18000000</v>
      </c>
    </row>
    <row r="64" spans="1:6" s="30" customFormat="1" ht="15" x14ac:dyDescent="0.25">
      <c r="A64" s="31">
        <v>25000000</v>
      </c>
      <c r="B64" s="36" t="s">
        <v>145</v>
      </c>
      <c r="C64" s="33">
        <f t="shared" si="0"/>
        <v>120820230</v>
      </c>
      <c r="D64" s="45">
        <f>SUM(D65,D70)</f>
        <v>0</v>
      </c>
      <c r="E64" s="45">
        <f>SUM(E65,E70)</f>
        <v>120820230</v>
      </c>
      <c r="F64" s="45"/>
    </row>
    <row r="65" spans="1:6" s="30" customFormat="1" ht="38.25" x14ac:dyDescent="0.25">
      <c r="A65" s="35">
        <v>25010000</v>
      </c>
      <c r="B65" s="66" t="s">
        <v>146</v>
      </c>
      <c r="C65" s="33">
        <f t="shared" si="0"/>
        <v>120820230</v>
      </c>
      <c r="D65" s="46">
        <v>0</v>
      </c>
      <c r="E65" s="348">
        <f>SUM(E66:E69)</f>
        <v>120820230</v>
      </c>
      <c r="F65" s="46"/>
    </row>
    <row r="66" spans="1:6" s="30" customFormat="1" ht="25.5" x14ac:dyDescent="0.25">
      <c r="A66" s="35">
        <v>25010100</v>
      </c>
      <c r="B66" s="67" t="s">
        <v>147</v>
      </c>
      <c r="C66" s="33">
        <f t="shared" si="0"/>
        <v>108176739</v>
      </c>
      <c r="D66" s="46">
        <v>0</v>
      </c>
      <c r="E66" s="348">
        <v>108176739</v>
      </c>
      <c r="F66" s="46"/>
    </row>
    <row r="67" spans="1:6" s="30" customFormat="1" ht="25.5" x14ac:dyDescent="0.25">
      <c r="A67" s="35">
        <v>25010200</v>
      </c>
      <c r="B67" s="67" t="s">
        <v>148</v>
      </c>
      <c r="C67" s="33">
        <f t="shared" si="0"/>
        <v>9272745</v>
      </c>
      <c r="D67" s="46">
        <v>0</v>
      </c>
      <c r="E67" s="348">
        <v>9272745</v>
      </c>
      <c r="F67" s="46"/>
    </row>
    <row r="68" spans="1:6" s="30" customFormat="1" ht="15" x14ac:dyDescent="0.25">
      <c r="A68" s="35">
        <v>25010300</v>
      </c>
      <c r="B68" s="67" t="s">
        <v>149</v>
      </c>
      <c r="C68" s="33">
        <f t="shared" si="0"/>
        <v>3339396</v>
      </c>
      <c r="D68" s="46">
        <v>0</v>
      </c>
      <c r="E68" s="348">
        <v>3339396</v>
      </c>
      <c r="F68" s="46"/>
    </row>
    <row r="69" spans="1:6" s="30" customFormat="1" ht="38.25" x14ac:dyDescent="0.25">
      <c r="A69" s="35">
        <v>25010400</v>
      </c>
      <c r="B69" s="67" t="s">
        <v>150</v>
      </c>
      <c r="C69" s="33">
        <f t="shared" si="0"/>
        <v>31350</v>
      </c>
      <c r="D69" s="46">
        <v>0</v>
      </c>
      <c r="E69" s="348">
        <v>31350</v>
      </c>
      <c r="F69" s="46"/>
    </row>
    <row r="70" spans="1:6" s="30" customFormat="1" ht="28.5" x14ac:dyDescent="0.25">
      <c r="A70" s="35">
        <v>25020000</v>
      </c>
      <c r="B70" s="66" t="s">
        <v>151</v>
      </c>
      <c r="C70" s="33">
        <f t="shared" si="0"/>
        <v>0</v>
      </c>
      <c r="D70" s="46">
        <v>0</v>
      </c>
      <c r="E70" s="46">
        <v>0</v>
      </c>
      <c r="F70" s="46"/>
    </row>
    <row r="71" spans="1:6" s="50" customFormat="1" ht="15" x14ac:dyDescent="0.2">
      <c r="A71" s="35">
        <v>25020100</v>
      </c>
      <c r="B71" s="67" t="s">
        <v>152</v>
      </c>
      <c r="C71" s="33">
        <f t="shared" si="0"/>
        <v>0</v>
      </c>
      <c r="D71" s="46">
        <v>0</v>
      </c>
      <c r="E71" s="46">
        <v>0</v>
      </c>
      <c r="F71" s="46"/>
    </row>
    <row r="72" spans="1:6" s="30" customFormat="1" ht="89.25" hidden="1" x14ac:dyDescent="0.25">
      <c r="A72" s="35">
        <v>25020200</v>
      </c>
      <c r="B72" s="67" t="s">
        <v>153</v>
      </c>
      <c r="C72" s="33">
        <f t="shared" si="0"/>
        <v>0</v>
      </c>
      <c r="D72" s="46"/>
      <c r="E72" s="46">
        <v>0</v>
      </c>
      <c r="F72" s="46"/>
    </row>
    <row r="73" spans="1:6" s="39" customFormat="1" ht="14.25" x14ac:dyDescent="0.2">
      <c r="A73" s="31">
        <v>30000000</v>
      </c>
      <c r="B73" s="32" t="s">
        <v>154</v>
      </c>
      <c r="C73" s="33">
        <f t="shared" si="0"/>
        <v>12935632</v>
      </c>
      <c r="D73" s="45">
        <f>SUM(D74)</f>
        <v>60000</v>
      </c>
      <c r="E73" s="45">
        <f>SUM(E74,E77)</f>
        <v>12875632</v>
      </c>
      <c r="F73" s="45">
        <f>SUM(F74,F77)</f>
        <v>12875632</v>
      </c>
    </row>
    <row r="74" spans="1:6" s="30" customFormat="1" ht="30" x14ac:dyDescent="0.25">
      <c r="A74" s="35">
        <v>31000000</v>
      </c>
      <c r="B74" s="68" t="s">
        <v>155</v>
      </c>
      <c r="C74" s="37">
        <f t="shared" si="0"/>
        <v>5135727</v>
      </c>
      <c r="D74" s="41">
        <v>60000</v>
      </c>
      <c r="E74" s="41">
        <f>SUM(E76)</f>
        <v>5075727</v>
      </c>
      <c r="F74" s="41">
        <f>SUM(F76)</f>
        <v>5075727</v>
      </c>
    </row>
    <row r="75" spans="1:6" s="30" customFormat="1" ht="60" x14ac:dyDescent="0.25">
      <c r="A75" s="42">
        <v>31010200</v>
      </c>
      <c r="B75" s="47" t="s">
        <v>156</v>
      </c>
      <c r="C75" s="37">
        <f>SUM(D75,E75)</f>
        <v>60000</v>
      </c>
      <c r="D75" s="348">
        <v>60000</v>
      </c>
      <c r="E75" s="348"/>
      <c r="F75" s="348"/>
    </row>
    <row r="76" spans="1:6" s="30" customFormat="1" ht="36" x14ac:dyDescent="0.25">
      <c r="A76" s="42">
        <v>31030000</v>
      </c>
      <c r="B76" s="69" t="s">
        <v>157</v>
      </c>
      <c r="C76" s="37">
        <f t="shared" si="0"/>
        <v>5075727</v>
      </c>
      <c r="D76" s="49"/>
      <c r="E76" s="49">
        <v>5075727</v>
      </c>
      <c r="F76" s="49">
        <v>5075727</v>
      </c>
    </row>
    <row r="77" spans="1:6" s="30" customFormat="1" ht="30" x14ac:dyDescent="0.25">
      <c r="A77" s="35">
        <v>33000000</v>
      </c>
      <c r="B77" s="68" t="s">
        <v>158</v>
      </c>
      <c r="C77" s="37">
        <f t="shared" si="0"/>
        <v>7799905</v>
      </c>
      <c r="D77" s="41"/>
      <c r="E77" s="41">
        <f>SUM(E78)</f>
        <v>7799905</v>
      </c>
      <c r="F77" s="41">
        <f>SUM(F78)</f>
        <v>7799905</v>
      </c>
    </row>
    <row r="78" spans="1:6" s="30" customFormat="1" ht="15" x14ac:dyDescent="0.25">
      <c r="A78" s="35">
        <v>33010000</v>
      </c>
      <c r="B78" s="68" t="s">
        <v>159</v>
      </c>
      <c r="C78" s="37">
        <f t="shared" si="0"/>
        <v>7799905</v>
      </c>
      <c r="D78" s="49"/>
      <c r="E78" s="49">
        <f>SUM(E79,E80)</f>
        <v>7799905</v>
      </c>
      <c r="F78" s="49">
        <f>SUM(F79,F80)</f>
        <v>7799905</v>
      </c>
    </row>
    <row r="79" spans="1:6" s="30" customFormat="1" ht="48" x14ac:dyDescent="0.25">
      <c r="A79" s="35">
        <v>33010100</v>
      </c>
      <c r="B79" s="69" t="s">
        <v>532</v>
      </c>
      <c r="C79" s="37">
        <f t="shared" si="0"/>
        <v>4085990</v>
      </c>
      <c r="D79" s="49"/>
      <c r="E79" s="49">
        <v>4085990</v>
      </c>
      <c r="F79" s="49">
        <v>4085990</v>
      </c>
    </row>
    <row r="80" spans="1:6" s="30" customFormat="1" ht="48" x14ac:dyDescent="0.25">
      <c r="A80" s="35">
        <v>33010200</v>
      </c>
      <c r="B80" s="69" t="s">
        <v>160</v>
      </c>
      <c r="C80" s="37">
        <f t="shared" ref="C80:C118" si="2">SUM(D80,E80)</f>
        <v>3713915</v>
      </c>
      <c r="D80" s="49"/>
      <c r="E80" s="49">
        <v>3713915</v>
      </c>
      <c r="F80" s="49">
        <v>3713915</v>
      </c>
    </row>
    <row r="81" spans="1:6" s="30" customFormat="1" ht="53.45" customHeight="1" x14ac:dyDescent="0.25">
      <c r="A81" s="31">
        <v>50110000</v>
      </c>
      <c r="B81" s="70" t="s">
        <v>161</v>
      </c>
      <c r="C81" s="37">
        <v>4462100</v>
      </c>
      <c r="D81" s="49"/>
      <c r="E81" s="37">
        <v>4462100</v>
      </c>
      <c r="F81" s="49"/>
    </row>
    <row r="82" spans="1:6" s="34" customFormat="1" ht="18.75" x14ac:dyDescent="0.2">
      <c r="A82" s="31"/>
      <c r="B82" s="71" t="s">
        <v>735</v>
      </c>
      <c r="C82" s="33">
        <f t="shared" si="2"/>
        <v>1991010179.6700001</v>
      </c>
      <c r="D82" s="45">
        <f>D10+D44+D73</f>
        <v>1834352217.6700001</v>
      </c>
      <c r="E82" s="45">
        <f>E10+E44+E73+E81</f>
        <v>156657962</v>
      </c>
      <c r="F82" s="45">
        <f>F10+F44+F64+F73</f>
        <v>30875632</v>
      </c>
    </row>
    <row r="83" spans="1:6" s="34" customFormat="1" ht="18.75" x14ac:dyDescent="0.2">
      <c r="A83" s="31">
        <v>4000000</v>
      </c>
      <c r="B83" s="71" t="s">
        <v>736</v>
      </c>
      <c r="C83" s="33">
        <f>SUM(D83:E83)</f>
        <v>1202273357.48</v>
      </c>
      <c r="D83" s="45">
        <f>SUM(D84,D86)</f>
        <v>1200400127.48</v>
      </c>
      <c r="E83" s="45">
        <v>1873230</v>
      </c>
      <c r="F83" s="45">
        <v>1873230</v>
      </c>
    </row>
    <row r="84" spans="1:6" s="34" customFormat="1" ht="31.5" x14ac:dyDescent="0.2">
      <c r="A84" s="31">
        <v>41040000</v>
      </c>
      <c r="B84" s="129" t="s">
        <v>535</v>
      </c>
      <c r="C84" s="33">
        <v>17381620</v>
      </c>
      <c r="D84" s="45">
        <v>17381620</v>
      </c>
      <c r="E84" s="45"/>
      <c r="F84" s="45"/>
    </row>
    <row r="85" spans="1:6" s="34" customFormat="1" ht="78.75" customHeight="1" x14ac:dyDescent="0.2">
      <c r="A85" s="35">
        <v>41040200</v>
      </c>
      <c r="B85" s="130" t="s">
        <v>534</v>
      </c>
      <c r="C85" s="37">
        <v>17381620</v>
      </c>
      <c r="D85" s="347">
        <v>17381620</v>
      </c>
      <c r="E85" s="45"/>
      <c r="F85" s="45"/>
    </row>
    <row r="86" spans="1:6" s="34" customFormat="1" ht="14.25" x14ac:dyDescent="0.2">
      <c r="A86" s="31">
        <v>40000000</v>
      </c>
      <c r="B86" s="51" t="s">
        <v>162</v>
      </c>
      <c r="C86" s="33">
        <f t="shared" si="2"/>
        <v>1184891737.48</v>
      </c>
      <c r="D86" s="45">
        <f>SUM(D87,D92)</f>
        <v>1183018507.48</v>
      </c>
      <c r="E86" s="45">
        <f>SUM(E87,E92)</f>
        <v>1873230</v>
      </c>
      <c r="F86" s="33">
        <v>1873230</v>
      </c>
    </row>
    <row r="87" spans="1:6" s="34" customFormat="1" ht="28.5" x14ac:dyDescent="0.2">
      <c r="A87" s="31">
        <v>4103000</v>
      </c>
      <c r="B87" s="51" t="s">
        <v>942</v>
      </c>
      <c r="C87" s="33">
        <v>616070900</v>
      </c>
      <c r="D87" s="45">
        <f>SUM(D88:D91)</f>
        <v>616070900</v>
      </c>
      <c r="E87" s="45"/>
      <c r="F87" s="33"/>
    </row>
    <row r="88" spans="1:6" s="34" customFormat="1" ht="25.5" x14ac:dyDescent="0.2">
      <c r="A88" s="35">
        <v>41033900</v>
      </c>
      <c r="B88" s="61" t="s">
        <v>163</v>
      </c>
      <c r="C88" s="37">
        <f t="shared" si="2"/>
        <v>368264000</v>
      </c>
      <c r="D88" s="49">
        <v>368264000</v>
      </c>
      <c r="E88" s="33"/>
      <c r="F88" s="33"/>
    </row>
    <row r="89" spans="1:6" s="34" customFormat="1" ht="25.5" x14ac:dyDescent="0.2">
      <c r="A89" s="35">
        <v>41034200</v>
      </c>
      <c r="B89" s="61" t="s">
        <v>164</v>
      </c>
      <c r="C89" s="37">
        <f t="shared" si="2"/>
        <v>194068900</v>
      </c>
      <c r="D89" s="49">
        <v>194068900</v>
      </c>
      <c r="E89" s="33"/>
      <c r="F89" s="33"/>
    </row>
    <row r="90" spans="1:6" s="34" customFormat="1" ht="42" customHeight="1" x14ac:dyDescent="0.2">
      <c r="A90" s="35">
        <v>41034500</v>
      </c>
      <c r="B90" s="61" t="s">
        <v>790</v>
      </c>
      <c r="C90" s="37">
        <v>26738000</v>
      </c>
      <c r="D90" s="49">
        <v>26738000</v>
      </c>
      <c r="E90" s="33"/>
      <c r="F90" s="33"/>
    </row>
    <row r="91" spans="1:6" s="34" customFormat="1" ht="66.75" customHeight="1" x14ac:dyDescent="0.2">
      <c r="A91" s="35">
        <v>41037400</v>
      </c>
      <c r="B91" s="61" t="s">
        <v>938</v>
      </c>
      <c r="C91" s="37">
        <v>27000000</v>
      </c>
      <c r="D91" s="49">
        <v>27000000</v>
      </c>
      <c r="E91" s="33"/>
      <c r="F91" s="33"/>
    </row>
    <row r="92" spans="1:6" s="34" customFormat="1" ht="42" customHeight="1" x14ac:dyDescent="0.2">
      <c r="A92" s="31">
        <v>41050000</v>
      </c>
      <c r="B92" s="36" t="s">
        <v>943</v>
      </c>
      <c r="C92" s="33">
        <f>SUM(D92,E92)</f>
        <v>568820837.48000002</v>
      </c>
      <c r="D92" s="33">
        <f xml:space="preserve"> SUM(D93:D107,D116,D117)</f>
        <v>566947607.48000002</v>
      </c>
      <c r="E92" s="33">
        <v>1873230</v>
      </c>
      <c r="F92" s="33">
        <v>1873230</v>
      </c>
    </row>
    <row r="93" spans="1:6" s="34" customFormat="1" ht="120" customHeight="1" x14ac:dyDescent="0.2">
      <c r="A93" s="35">
        <v>41050100</v>
      </c>
      <c r="B93" s="61" t="s">
        <v>487</v>
      </c>
      <c r="C93" s="37">
        <v>155051200</v>
      </c>
      <c r="D93" s="49">
        <v>155051200</v>
      </c>
      <c r="E93" s="33"/>
      <c r="F93" s="33"/>
    </row>
    <row r="94" spans="1:6" s="34" customFormat="1" ht="78.75" customHeight="1" x14ac:dyDescent="0.2">
      <c r="A94" s="35">
        <v>41050200</v>
      </c>
      <c r="B94" s="61" t="s">
        <v>488</v>
      </c>
      <c r="C94" s="37">
        <v>49300</v>
      </c>
      <c r="D94" s="49">
        <v>49300</v>
      </c>
      <c r="E94" s="33"/>
      <c r="F94" s="33"/>
    </row>
    <row r="95" spans="1:6" s="34" customFormat="1" ht="196.5" customHeight="1" x14ac:dyDescent="0.2">
      <c r="A95" s="35">
        <v>41050300</v>
      </c>
      <c r="B95" s="61" t="s">
        <v>486</v>
      </c>
      <c r="C95" s="37">
        <v>354029500</v>
      </c>
      <c r="D95" s="49">
        <v>354029500</v>
      </c>
      <c r="E95" s="33"/>
      <c r="F95" s="33"/>
    </row>
    <row r="96" spans="1:6" s="34" customFormat="1" ht="259.5" customHeight="1" x14ac:dyDescent="0.2">
      <c r="A96" s="35">
        <v>41050400</v>
      </c>
      <c r="B96" s="61" t="s">
        <v>939</v>
      </c>
      <c r="C96" s="37">
        <v>5371203.1200000001</v>
      </c>
      <c r="D96" s="49">
        <v>5371203.1200000001</v>
      </c>
      <c r="E96" s="33"/>
      <c r="F96" s="33"/>
    </row>
    <row r="97" spans="1:6" s="34" customFormat="1" ht="241.5" customHeight="1" x14ac:dyDescent="0.2">
      <c r="A97" s="35">
        <v>41050500</v>
      </c>
      <c r="B97" s="61" t="s">
        <v>940</v>
      </c>
      <c r="C97" s="37">
        <v>7952988.3600000003</v>
      </c>
      <c r="D97" s="49">
        <v>7952988.3600000003</v>
      </c>
      <c r="E97" s="33"/>
      <c r="F97" s="33"/>
    </row>
    <row r="98" spans="1:6" s="34" customFormat="1" ht="321.75" customHeight="1" x14ac:dyDescent="0.2">
      <c r="A98" s="35">
        <v>41050600</v>
      </c>
      <c r="B98" s="61" t="s">
        <v>972</v>
      </c>
      <c r="C98" s="37">
        <v>854690</v>
      </c>
      <c r="D98" s="49"/>
      <c r="E98" s="38">
        <v>854690</v>
      </c>
      <c r="F98" s="38">
        <v>854690</v>
      </c>
    </row>
    <row r="99" spans="1:6" s="34" customFormat="1" ht="168" customHeight="1" x14ac:dyDescent="0.2">
      <c r="A99" s="35">
        <v>41050700</v>
      </c>
      <c r="B99" s="61" t="s">
        <v>489</v>
      </c>
      <c r="C99" s="37">
        <v>919538</v>
      </c>
      <c r="D99" s="49">
        <v>919538</v>
      </c>
      <c r="E99" s="33"/>
      <c r="F99" s="33"/>
    </row>
    <row r="100" spans="1:6" s="34" customFormat="1" ht="101.25" customHeight="1" x14ac:dyDescent="0.2">
      <c r="A100" s="35">
        <v>41050900</v>
      </c>
      <c r="B100" s="61" t="s">
        <v>962</v>
      </c>
      <c r="C100" s="37">
        <v>530290</v>
      </c>
      <c r="D100" s="49">
        <v>530290</v>
      </c>
      <c r="E100" s="33"/>
      <c r="F100" s="33"/>
    </row>
    <row r="101" spans="1:6" s="34" customFormat="1" ht="38.25" x14ac:dyDescent="0.2">
      <c r="A101" s="35">
        <v>41051000</v>
      </c>
      <c r="B101" s="61" t="s">
        <v>963</v>
      </c>
      <c r="C101" s="37">
        <v>2706263</v>
      </c>
      <c r="D101" s="49">
        <v>2706263</v>
      </c>
      <c r="E101" s="33"/>
      <c r="F101" s="33"/>
    </row>
    <row r="102" spans="1:6" s="34" customFormat="1" ht="63.75" x14ac:dyDescent="0.2">
      <c r="A102" s="35">
        <v>41051200</v>
      </c>
      <c r="B102" s="61" t="s">
        <v>777</v>
      </c>
      <c r="C102" s="37">
        <v>4842261</v>
      </c>
      <c r="D102" s="49">
        <v>4842261</v>
      </c>
      <c r="E102" s="33"/>
      <c r="F102" s="33"/>
    </row>
    <row r="103" spans="1:6" s="34" customFormat="1" ht="51" x14ac:dyDescent="0.2">
      <c r="A103" s="35">
        <v>41051400</v>
      </c>
      <c r="B103" s="61" t="s">
        <v>880</v>
      </c>
      <c r="C103" s="37">
        <v>4877626</v>
      </c>
      <c r="D103" s="49">
        <v>4877626</v>
      </c>
      <c r="E103" s="33"/>
      <c r="F103" s="33"/>
    </row>
    <row r="104" spans="1:6" s="34" customFormat="1" ht="49.7" customHeight="1" x14ac:dyDescent="0.2">
      <c r="A104" s="31">
        <v>41051500</v>
      </c>
      <c r="B104" s="61" t="s">
        <v>764</v>
      </c>
      <c r="C104" s="37">
        <f t="shared" si="2"/>
        <v>15622316</v>
      </c>
      <c r="D104" s="49">
        <v>15622316</v>
      </c>
      <c r="E104" s="33"/>
      <c r="F104" s="33"/>
    </row>
    <row r="105" spans="1:6" s="34" customFormat="1" ht="42.75" customHeight="1" x14ac:dyDescent="0.2">
      <c r="A105" s="31">
        <v>41051600</v>
      </c>
      <c r="B105" s="61" t="s">
        <v>791</v>
      </c>
      <c r="C105" s="37">
        <f t="shared" si="2"/>
        <v>1310000</v>
      </c>
      <c r="D105" s="49">
        <v>1310000</v>
      </c>
      <c r="E105" s="33"/>
      <c r="F105" s="33"/>
    </row>
    <row r="106" spans="1:6" s="34" customFormat="1" ht="58.7" customHeight="1" x14ac:dyDescent="0.2">
      <c r="A106" s="31">
        <v>41052000</v>
      </c>
      <c r="B106" s="61" t="s">
        <v>765</v>
      </c>
      <c r="C106" s="37">
        <f t="shared" si="2"/>
        <v>1734200</v>
      </c>
      <c r="D106" s="49">
        <v>1734200</v>
      </c>
      <c r="E106" s="33"/>
      <c r="F106" s="33"/>
    </row>
    <row r="107" spans="1:6" s="34" customFormat="1" ht="17.45" customHeight="1" x14ac:dyDescent="0.2">
      <c r="A107" s="31">
        <v>41053900</v>
      </c>
      <c r="B107" s="72" t="s">
        <v>533</v>
      </c>
      <c r="C107" s="33">
        <f t="shared" si="2"/>
        <v>4976168</v>
      </c>
      <c r="D107" s="45">
        <f>SUM(D108:D115)</f>
        <v>3957628</v>
      </c>
      <c r="E107" s="33">
        <v>1018540</v>
      </c>
      <c r="F107" s="33">
        <v>1018540</v>
      </c>
    </row>
    <row r="108" spans="1:6" s="34" customFormat="1" ht="24" x14ac:dyDescent="0.2">
      <c r="A108" s="31"/>
      <c r="B108" s="73" t="s">
        <v>165</v>
      </c>
      <c r="C108" s="37">
        <f t="shared" si="2"/>
        <v>179080</v>
      </c>
      <c r="D108" s="49">
        <v>179080</v>
      </c>
      <c r="E108" s="33"/>
      <c r="F108" s="33"/>
    </row>
    <row r="109" spans="1:6" s="34" customFormat="1" ht="36" x14ac:dyDescent="0.2">
      <c r="A109" s="31"/>
      <c r="B109" s="73" t="s">
        <v>166</v>
      </c>
      <c r="C109" s="37">
        <f t="shared" si="2"/>
        <v>135534</v>
      </c>
      <c r="D109" s="49">
        <v>135534</v>
      </c>
      <c r="E109" s="33"/>
      <c r="F109" s="33"/>
    </row>
    <row r="110" spans="1:6" s="50" customFormat="1" ht="24" x14ac:dyDescent="0.2">
      <c r="A110" s="31"/>
      <c r="B110" s="73" t="s">
        <v>167</v>
      </c>
      <c r="C110" s="37">
        <f t="shared" si="2"/>
        <v>168</v>
      </c>
      <c r="D110" s="49">
        <v>168</v>
      </c>
      <c r="E110" s="33"/>
      <c r="F110" s="33"/>
    </row>
    <row r="111" spans="1:6" ht="24" x14ac:dyDescent="0.2">
      <c r="A111" s="31"/>
      <c r="B111" s="73" t="s">
        <v>168</v>
      </c>
      <c r="C111" s="37">
        <f t="shared" si="2"/>
        <v>117846</v>
      </c>
      <c r="D111" s="49">
        <v>117846</v>
      </c>
      <c r="E111" s="33"/>
      <c r="F111" s="33"/>
    </row>
    <row r="112" spans="1:6" ht="14.25" x14ac:dyDescent="0.2">
      <c r="A112" s="31"/>
      <c r="B112" s="73" t="s">
        <v>944</v>
      </c>
      <c r="C112" s="37">
        <f t="shared" si="2"/>
        <v>568540</v>
      </c>
      <c r="D112" s="49">
        <v>0</v>
      </c>
      <c r="E112" s="49">
        <v>568540</v>
      </c>
      <c r="F112" s="49">
        <v>568540</v>
      </c>
    </row>
    <row r="113" spans="1:6" ht="36" x14ac:dyDescent="0.2">
      <c r="A113" s="31"/>
      <c r="B113" s="73" t="s">
        <v>973</v>
      </c>
      <c r="C113" s="37">
        <v>450000</v>
      </c>
      <c r="D113" s="49"/>
      <c r="E113" s="49">
        <v>450000</v>
      </c>
      <c r="F113" s="49">
        <v>450000</v>
      </c>
    </row>
    <row r="114" spans="1:6" ht="24" x14ac:dyDescent="0.2">
      <c r="A114" s="31"/>
      <c r="B114" s="73" t="s">
        <v>977</v>
      </c>
      <c r="C114" s="37">
        <v>25000</v>
      </c>
      <c r="D114" s="49">
        <v>25000</v>
      </c>
      <c r="E114" s="38"/>
      <c r="F114" s="38"/>
    </row>
    <row r="115" spans="1:6" ht="24" x14ac:dyDescent="0.2">
      <c r="A115" s="31"/>
      <c r="B115" s="73" t="s">
        <v>776</v>
      </c>
      <c r="C115" s="37">
        <f t="shared" si="2"/>
        <v>3500000</v>
      </c>
      <c r="D115" s="49">
        <v>3500000</v>
      </c>
      <c r="E115" s="33"/>
      <c r="F115" s="33"/>
    </row>
    <row r="116" spans="1:6" s="280" customFormat="1" ht="51" x14ac:dyDescent="0.2">
      <c r="A116" s="29">
        <v>41054300</v>
      </c>
      <c r="B116" s="84" t="s">
        <v>941</v>
      </c>
      <c r="C116" s="37">
        <f t="shared" si="2"/>
        <v>7244238</v>
      </c>
      <c r="D116" s="49">
        <v>7244238</v>
      </c>
      <c r="E116" s="37"/>
      <c r="F116" s="37"/>
    </row>
    <row r="117" spans="1:6" s="280" customFormat="1" ht="51" x14ac:dyDescent="0.2">
      <c r="A117" s="29">
        <v>41054500</v>
      </c>
      <c r="B117" s="84" t="s">
        <v>971</v>
      </c>
      <c r="C117" s="37">
        <f t="shared" si="2"/>
        <v>749056</v>
      </c>
      <c r="D117" s="49">
        <v>749056</v>
      </c>
      <c r="E117" s="37"/>
      <c r="F117" s="37"/>
    </row>
    <row r="118" spans="1:6" s="76" customFormat="1" ht="20.25" x14ac:dyDescent="0.25">
      <c r="A118" s="74"/>
      <c r="B118" s="75" t="s">
        <v>169</v>
      </c>
      <c r="C118" s="33">
        <f t="shared" si="2"/>
        <v>3193283537.1500001</v>
      </c>
      <c r="D118" s="45">
        <f>SUM(D82,D84,D86)</f>
        <v>3034752345.1500001</v>
      </c>
      <c r="E118" s="45">
        <f>SUM(E82,E86)</f>
        <v>158531192</v>
      </c>
      <c r="F118" s="45">
        <f>SUM(F82,F86)</f>
        <v>32748862</v>
      </c>
    </row>
    <row r="120" spans="1:6" ht="15" customHeight="1" x14ac:dyDescent="0.25">
      <c r="B120" s="173" t="s">
        <v>1003</v>
      </c>
      <c r="E120" s="173" t="s">
        <v>1004</v>
      </c>
    </row>
    <row r="121" spans="1:6" ht="1.5" hidden="1" customHeight="1" x14ac:dyDescent="0.25">
      <c r="B121" s="173"/>
      <c r="E121" s="173"/>
    </row>
    <row r="122" spans="1:6" ht="29.25" customHeight="1" x14ac:dyDescent="0.25">
      <c r="A122" s="76"/>
      <c r="B122" s="173"/>
      <c r="C122" s="173"/>
      <c r="D122" s="173"/>
      <c r="E122" s="173"/>
      <c r="F122" s="76"/>
    </row>
    <row r="124" spans="1:6" x14ac:dyDescent="0.2">
      <c r="D124" s="77"/>
    </row>
    <row r="125" spans="1:6" x14ac:dyDescent="0.2">
      <c r="D125" s="78"/>
    </row>
    <row r="168" spans="5:5" ht="18.75" x14ac:dyDescent="0.3">
      <c r="E168" s="109"/>
    </row>
  </sheetData>
  <mergeCells count="10">
    <mergeCell ref="A7:A8"/>
    <mergeCell ref="B7:B8"/>
    <mergeCell ref="C7:C8"/>
    <mergeCell ref="D7:D8"/>
    <mergeCell ref="E7:F7"/>
    <mergeCell ref="D1:G1"/>
    <mergeCell ref="D2:G2"/>
    <mergeCell ref="D3:G3"/>
    <mergeCell ref="A4:E4"/>
    <mergeCell ref="A5:E5"/>
  </mergeCells>
  <hyperlinks>
    <hyperlink ref="B74" location="_ftn1" display="_ftn1"/>
    <hyperlink ref="B73" location="_ftn1" display="_ftn1"/>
    <hyperlink ref="B59" location="_ftn1" display="_ftn1"/>
    <hyperlink ref="B15" location="_ftn1" display="_ftn1"/>
    <hyperlink ref="B14" location="_ftn1" display="_ftn1"/>
    <hyperlink ref="B42" location="_ftn1" display="_ftn1"/>
    <hyperlink ref="B77" location="_ftn1" display="_ftn1"/>
    <hyperlink ref="B78" location="_ftn1" display="_ftn1"/>
    <hyperlink ref="B47" location="_ftn1" display="_ftn1"/>
    <hyperlink ref="B48" location="_ftn1" display="_ftn1"/>
  </hyperlinks>
  <printOptions horizontalCentered="1"/>
  <pageMargins left="0.35433070866141736" right="0.15748031496062992" top="0.59055118110236227" bottom="0.51181102362204722" header="0.51181102362204722" footer="0.51181102362204722"/>
  <pageSetup paperSize="9" scale="85" fitToHeight="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2:T223"/>
  <sheetViews>
    <sheetView view="pageBreakPreview" topLeftCell="F1" zoomScale="25" zoomScaleNormal="25" zoomScaleSheetLayoutView="25" zoomScalePageLayoutView="10" workbookViewId="0">
      <pane ySplit="12" topLeftCell="A178" activePane="bottomLeft" state="frozen"/>
      <selection activeCell="AA194" sqref="AA194"/>
      <selection pane="bottomLeft" activeCell="N3" sqref="N3:Q3"/>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66.42578125" style="5" customWidth="1"/>
    <col min="6" max="6" width="58.5703125" style="1" customWidth="1"/>
    <col min="7" max="7" width="55.42578125" style="1" customWidth="1"/>
    <col min="8" max="8" width="48.140625" style="1" customWidth="1"/>
    <col min="9" max="9" width="41.85546875" style="1" customWidth="1"/>
    <col min="10" max="10" width="50.5703125" style="5" customWidth="1"/>
    <col min="11" max="11" width="52.5703125" style="5" customWidth="1"/>
    <col min="12" max="12" width="56.140625" style="1" customWidth="1"/>
    <col min="13" max="13" width="54.85546875" style="1" customWidth="1"/>
    <col min="14" max="14" width="45.28515625" style="1" bestFit="1" customWidth="1"/>
    <col min="15" max="15" width="56.140625" style="1" bestFit="1" customWidth="1"/>
    <col min="16" max="16" width="86.28515625" style="5" customWidth="1"/>
    <col min="17" max="17" width="52.140625" style="350" customWidth="1"/>
    <col min="18" max="18" width="66.42578125" style="350" bestFit="1" customWidth="1"/>
    <col min="19" max="19" width="9.140625" style="350"/>
    <col min="20" max="20" width="24.7109375" style="350" bestFit="1" customWidth="1"/>
    <col min="21" max="16384" width="9.140625" style="350"/>
  </cols>
  <sheetData>
    <row r="2" spans="1:18" ht="45.75" x14ac:dyDescent="0.2">
      <c r="D2" s="352"/>
      <c r="E2" s="353"/>
      <c r="F2" s="351"/>
      <c r="G2" s="353"/>
      <c r="H2" s="353"/>
      <c r="I2" s="353"/>
      <c r="J2" s="353"/>
      <c r="K2" s="353"/>
      <c r="L2" s="353"/>
      <c r="M2" s="353"/>
      <c r="N2" s="470" t="s">
        <v>89</v>
      </c>
      <c r="O2" s="458"/>
      <c r="P2" s="458"/>
      <c r="Q2" s="458"/>
    </row>
    <row r="3" spans="1:18" ht="45.75" x14ac:dyDescent="0.2">
      <c r="A3" s="352"/>
      <c r="B3" s="352"/>
      <c r="C3" s="352"/>
      <c r="D3" s="352"/>
      <c r="E3" s="353"/>
      <c r="F3" s="351"/>
      <c r="G3" s="353"/>
      <c r="H3" s="353"/>
      <c r="I3" s="353"/>
      <c r="J3" s="353"/>
      <c r="K3" s="353"/>
      <c r="L3" s="353"/>
      <c r="M3" s="353"/>
      <c r="N3" s="470" t="s">
        <v>1025</v>
      </c>
      <c r="O3" s="471"/>
      <c r="P3" s="471"/>
      <c r="Q3" s="471"/>
    </row>
    <row r="4" spans="1:18" ht="40.700000000000003" customHeight="1" x14ac:dyDescent="0.2">
      <c r="A4" s="352"/>
      <c r="B4" s="352"/>
      <c r="C4" s="352"/>
      <c r="D4" s="352"/>
      <c r="E4" s="353"/>
      <c r="F4" s="351"/>
      <c r="G4" s="353"/>
      <c r="H4" s="353"/>
      <c r="I4" s="353"/>
      <c r="J4" s="353"/>
      <c r="K4" s="353"/>
      <c r="L4" s="353"/>
      <c r="M4" s="353"/>
      <c r="N4" s="353"/>
      <c r="O4" s="470"/>
      <c r="P4" s="472"/>
    </row>
    <row r="5" spans="1:18" ht="45.75" hidden="1" x14ac:dyDescent="0.2">
      <c r="A5" s="352"/>
      <c r="B5" s="352"/>
      <c r="C5" s="352"/>
      <c r="D5" s="352"/>
      <c r="E5" s="353"/>
      <c r="F5" s="351"/>
      <c r="G5" s="353"/>
      <c r="H5" s="353"/>
      <c r="I5" s="353"/>
      <c r="J5" s="353"/>
      <c r="K5" s="353"/>
      <c r="L5" s="353"/>
      <c r="M5" s="353"/>
      <c r="N5" s="353"/>
      <c r="O5" s="352"/>
      <c r="P5" s="351"/>
    </row>
    <row r="6" spans="1:18" ht="45" x14ac:dyDescent="0.2">
      <c r="A6" s="474" t="s">
        <v>88</v>
      </c>
      <c r="B6" s="474"/>
      <c r="C6" s="474"/>
      <c r="D6" s="474"/>
      <c r="E6" s="474"/>
      <c r="F6" s="474"/>
      <c r="G6" s="474"/>
      <c r="H6" s="474"/>
      <c r="I6" s="474"/>
      <c r="J6" s="474"/>
      <c r="K6" s="474"/>
      <c r="L6" s="474"/>
      <c r="M6" s="474"/>
      <c r="N6" s="474"/>
      <c r="O6" s="474"/>
      <c r="P6" s="474"/>
    </row>
    <row r="7" spans="1:18" ht="45" x14ac:dyDescent="0.2">
      <c r="A7" s="474" t="s">
        <v>639</v>
      </c>
      <c r="B7" s="474"/>
      <c r="C7" s="474"/>
      <c r="D7" s="474"/>
      <c r="E7" s="474"/>
      <c r="F7" s="474"/>
      <c r="G7" s="474"/>
      <c r="H7" s="474"/>
      <c r="I7" s="474"/>
      <c r="J7" s="474"/>
      <c r="K7" s="474"/>
      <c r="L7" s="474"/>
      <c r="M7" s="474"/>
      <c r="N7" s="474"/>
      <c r="O7" s="474"/>
      <c r="P7" s="474"/>
    </row>
    <row r="8" spans="1:18" ht="53.45" customHeight="1" x14ac:dyDescent="0.2">
      <c r="A8" s="353"/>
      <c r="B8" s="353"/>
      <c r="C8" s="353"/>
      <c r="D8" s="353"/>
      <c r="E8" s="353"/>
      <c r="F8" s="351"/>
      <c r="G8" s="353"/>
      <c r="H8" s="353"/>
      <c r="I8" s="353"/>
      <c r="J8" s="353"/>
      <c r="K8" s="353"/>
      <c r="L8" s="353"/>
      <c r="M8" s="353"/>
      <c r="N8" s="353"/>
      <c r="O8" s="353"/>
      <c r="P8" s="10" t="s">
        <v>640</v>
      </c>
    </row>
    <row r="9" spans="1:18" ht="62.45" customHeight="1" x14ac:dyDescent="0.2">
      <c r="A9" s="478" t="s">
        <v>29</v>
      </c>
      <c r="B9" s="478" t="s">
        <v>641</v>
      </c>
      <c r="C9" s="478" t="s">
        <v>648</v>
      </c>
      <c r="D9" s="478" t="s">
        <v>642</v>
      </c>
      <c r="E9" s="473" t="s">
        <v>25</v>
      </c>
      <c r="F9" s="473"/>
      <c r="G9" s="473"/>
      <c r="H9" s="473"/>
      <c r="I9" s="473"/>
      <c r="J9" s="483" t="s">
        <v>84</v>
      </c>
      <c r="K9" s="484"/>
      <c r="L9" s="484"/>
      <c r="M9" s="484"/>
      <c r="N9" s="484"/>
      <c r="O9" s="485"/>
      <c r="P9" s="473" t="s">
        <v>24</v>
      </c>
    </row>
    <row r="10" spans="1:18" ht="255" customHeight="1" x14ac:dyDescent="0.2">
      <c r="A10" s="479"/>
      <c r="B10" s="481"/>
      <c r="C10" s="481"/>
      <c r="D10" s="479"/>
      <c r="E10" s="475" t="s">
        <v>636</v>
      </c>
      <c r="F10" s="475" t="s">
        <v>85</v>
      </c>
      <c r="G10" s="475" t="s">
        <v>26</v>
      </c>
      <c r="H10" s="475"/>
      <c r="I10" s="475" t="s">
        <v>87</v>
      </c>
      <c r="J10" s="475" t="s">
        <v>636</v>
      </c>
      <c r="K10" s="475" t="s">
        <v>637</v>
      </c>
      <c r="L10" s="475" t="s">
        <v>85</v>
      </c>
      <c r="M10" s="475" t="s">
        <v>26</v>
      </c>
      <c r="N10" s="475"/>
      <c r="O10" s="475" t="s">
        <v>87</v>
      </c>
      <c r="P10" s="473"/>
    </row>
    <row r="11" spans="1:18" ht="135" x14ac:dyDescent="0.2">
      <c r="A11" s="480"/>
      <c r="B11" s="480"/>
      <c r="C11" s="480"/>
      <c r="D11" s="480"/>
      <c r="E11" s="475"/>
      <c r="F11" s="475"/>
      <c r="G11" s="354" t="s">
        <v>86</v>
      </c>
      <c r="H11" s="354" t="s">
        <v>28</v>
      </c>
      <c r="I11" s="475"/>
      <c r="J11" s="475"/>
      <c r="K11" s="475"/>
      <c r="L11" s="475"/>
      <c r="M11" s="354" t="s">
        <v>86</v>
      </c>
      <c r="N11" s="354" t="s">
        <v>28</v>
      </c>
      <c r="O11" s="475"/>
      <c r="P11" s="473"/>
    </row>
    <row r="12" spans="1:18" s="2" customFormat="1" ht="111" customHeight="1" x14ac:dyDescent="0.2">
      <c r="A12" s="11" t="s">
        <v>4</v>
      </c>
      <c r="B12" s="11" t="s">
        <v>5</v>
      </c>
      <c r="C12" s="11" t="s">
        <v>27</v>
      </c>
      <c r="D12" s="11" t="s">
        <v>7</v>
      </c>
      <c r="E12" s="11" t="s">
        <v>651</v>
      </c>
      <c r="F12" s="11" t="s">
        <v>652</v>
      </c>
      <c r="G12" s="11" t="s">
        <v>653</v>
      </c>
      <c r="H12" s="11" t="s">
        <v>654</v>
      </c>
      <c r="I12" s="11" t="s">
        <v>655</v>
      </c>
      <c r="J12" s="11" t="s">
        <v>656</v>
      </c>
      <c r="K12" s="11" t="s">
        <v>657</v>
      </c>
      <c r="L12" s="11" t="s">
        <v>658</v>
      </c>
      <c r="M12" s="11" t="s">
        <v>659</v>
      </c>
      <c r="N12" s="11" t="s">
        <v>660</v>
      </c>
      <c r="O12" s="11" t="s">
        <v>661</v>
      </c>
      <c r="P12" s="11" t="s">
        <v>662</v>
      </c>
    </row>
    <row r="13" spans="1:18" s="2" customFormat="1" ht="135" x14ac:dyDescent="0.2">
      <c r="A13" s="327" t="s">
        <v>228</v>
      </c>
      <c r="B13" s="327"/>
      <c r="C13" s="327"/>
      <c r="D13" s="328" t="s">
        <v>230</v>
      </c>
      <c r="E13" s="329">
        <f>E14</f>
        <v>91904512</v>
      </c>
      <c r="F13" s="329">
        <f t="shared" ref="F13:N13" si="0">F14</f>
        <v>91904512</v>
      </c>
      <c r="G13" s="329">
        <f t="shared" si="0"/>
        <v>54985000</v>
      </c>
      <c r="H13" s="329">
        <f t="shared" si="0"/>
        <v>2521600</v>
      </c>
      <c r="I13" s="329">
        <f t="shared" si="0"/>
        <v>0</v>
      </c>
      <c r="J13" s="329">
        <f t="shared" si="0"/>
        <v>12748940.039999999</v>
      </c>
      <c r="K13" s="329">
        <f t="shared" si="0"/>
        <v>9172679</v>
      </c>
      <c r="L13" s="329">
        <f t="shared" si="0"/>
        <v>3546261.04</v>
      </c>
      <c r="M13" s="329">
        <f t="shared" si="0"/>
        <v>0</v>
      </c>
      <c r="N13" s="329">
        <f t="shared" si="0"/>
        <v>0</v>
      </c>
      <c r="O13" s="329">
        <f>O14</f>
        <v>9202679</v>
      </c>
      <c r="P13" s="329">
        <f t="shared" ref="P13" si="1">P14</f>
        <v>104653452.03999999</v>
      </c>
    </row>
    <row r="14" spans="1:18" s="2" customFormat="1" ht="135" x14ac:dyDescent="0.2">
      <c r="A14" s="324" t="s">
        <v>229</v>
      </c>
      <c r="B14" s="324"/>
      <c r="C14" s="324"/>
      <c r="D14" s="325" t="s">
        <v>231</v>
      </c>
      <c r="E14" s="326">
        <f>SUM(E15:E24)</f>
        <v>91904512</v>
      </c>
      <c r="F14" s="326">
        <f t="shared" ref="F14:I14" si="2">SUM(F15:F24)</f>
        <v>91904512</v>
      </c>
      <c r="G14" s="326">
        <f t="shared" si="2"/>
        <v>54985000</v>
      </c>
      <c r="H14" s="326">
        <f t="shared" si="2"/>
        <v>2521600</v>
      </c>
      <c r="I14" s="326">
        <f t="shared" si="2"/>
        <v>0</v>
      </c>
      <c r="J14" s="326">
        <f t="shared" ref="J14:J19" si="3">L14+O14</f>
        <v>12748940.039999999</v>
      </c>
      <c r="K14" s="326">
        <f t="shared" ref="K14:O14" si="4">SUM(K15:K24)</f>
        <v>9172679</v>
      </c>
      <c r="L14" s="326">
        <f t="shared" si="4"/>
        <v>3546261.04</v>
      </c>
      <c r="M14" s="326">
        <f t="shared" si="4"/>
        <v>0</v>
      </c>
      <c r="N14" s="326">
        <f t="shared" si="4"/>
        <v>0</v>
      </c>
      <c r="O14" s="326">
        <f t="shared" si="4"/>
        <v>9202679</v>
      </c>
      <c r="P14" s="326">
        <f>E14+J14</f>
        <v>104653452.03999999</v>
      </c>
      <c r="Q14" s="136" t="b">
        <f>P15+P16+P17+P18+P21+P22+P19+P23+P24=P14</f>
        <v>1</v>
      </c>
      <c r="R14" s="136" t="b">
        <f>K14='d5'!I6</f>
        <v>1</v>
      </c>
    </row>
    <row r="15" spans="1:18" ht="320.25" x14ac:dyDescent="0.2">
      <c r="A15" s="360" t="s">
        <v>331</v>
      </c>
      <c r="B15" s="360" t="s">
        <v>332</v>
      </c>
      <c r="C15" s="360" t="s">
        <v>333</v>
      </c>
      <c r="D15" s="360" t="s">
        <v>330</v>
      </c>
      <c r="E15" s="359">
        <f t="shared" ref="E15:E24" si="5">F15</f>
        <v>79065004</v>
      </c>
      <c r="F15" s="249">
        <f>(79041400)+23604</f>
        <v>79065004</v>
      </c>
      <c r="G15" s="249">
        <v>54985000</v>
      </c>
      <c r="H15" s="249">
        <f>(2510600)+11000</f>
        <v>2521600</v>
      </c>
      <c r="I15" s="249"/>
      <c r="J15" s="359">
        <f t="shared" si="3"/>
        <v>1078500</v>
      </c>
      <c r="K15" s="249">
        <f>((210000)+568500)+300000</f>
        <v>1078500</v>
      </c>
      <c r="L15" s="264"/>
      <c r="M15" s="265"/>
      <c r="N15" s="265"/>
      <c r="O15" s="266">
        <f>K15</f>
        <v>1078500</v>
      </c>
      <c r="P15" s="359">
        <f>+J15+E15</f>
        <v>80143504</v>
      </c>
      <c r="R15" s="136" t="b">
        <f>K15='d5'!I8</f>
        <v>1</v>
      </c>
    </row>
    <row r="16" spans="1:18" ht="91.5" x14ac:dyDescent="0.2">
      <c r="A16" s="360" t="s">
        <v>347</v>
      </c>
      <c r="B16" s="360" t="s">
        <v>71</v>
      </c>
      <c r="C16" s="360" t="s">
        <v>70</v>
      </c>
      <c r="D16" s="360" t="s">
        <v>348</v>
      </c>
      <c r="E16" s="359">
        <f t="shared" si="5"/>
        <v>2305000</v>
      </c>
      <c r="F16" s="311">
        <f>(1305000)+1000000</f>
        <v>2305000</v>
      </c>
      <c r="G16" s="311"/>
      <c r="H16" s="311"/>
      <c r="I16" s="311"/>
      <c r="J16" s="359">
        <f t="shared" si="3"/>
        <v>475727</v>
      </c>
      <c r="K16" s="311">
        <v>475727</v>
      </c>
      <c r="L16" s="311"/>
      <c r="M16" s="311"/>
      <c r="N16" s="311"/>
      <c r="O16" s="266">
        <f>K16</f>
        <v>475727</v>
      </c>
      <c r="P16" s="359">
        <f>E16+J16</f>
        <v>2780727</v>
      </c>
      <c r="R16" s="136"/>
    </row>
    <row r="17" spans="1:20" ht="91.5" x14ac:dyDescent="0.2">
      <c r="A17" s="360" t="s">
        <v>337</v>
      </c>
      <c r="B17" s="360" t="s">
        <v>338</v>
      </c>
      <c r="C17" s="360" t="s">
        <v>339</v>
      </c>
      <c r="D17" s="360" t="s">
        <v>336</v>
      </c>
      <c r="E17" s="359">
        <f t="shared" si="5"/>
        <v>3236400</v>
      </c>
      <c r="F17" s="311">
        <v>3236400</v>
      </c>
      <c r="G17" s="311">
        <f>H17+I17</f>
        <v>0</v>
      </c>
      <c r="H17" s="311"/>
      <c r="I17" s="311"/>
      <c r="J17" s="359">
        <f t="shared" si="3"/>
        <v>3500000</v>
      </c>
      <c r="K17" s="311">
        <f>(1500000)+2000000</f>
        <v>3500000</v>
      </c>
      <c r="L17" s="311"/>
      <c r="M17" s="311"/>
      <c r="N17" s="311"/>
      <c r="O17" s="266">
        <f>K17</f>
        <v>3500000</v>
      </c>
      <c r="P17" s="359">
        <f>+J17+E17</f>
        <v>6736400</v>
      </c>
      <c r="R17" s="136" t="b">
        <f>K17='d5'!I10</f>
        <v>1</v>
      </c>
    </row>
    <row r="18" spans="1:20" ht="137.25" x14ac:dyDescent="0.2">
      <c r="A18" s="360" t="s">
        <v>439</v>
      </c>
      <c r="B18" s="360" t="s">
        <v>440</v>
      </c>
      <c r="C18" s="360" t="s">
        <v>250</v>
      </c>
      <c r="D18" s="355" t="s">
        <v>438</v>
      </c>
      <c r="E18" s="359">
        <f t="shared" si="5"/>
        <v>165000</v>
      </c>
      <c r="F18" s="311">
        <v>165000</v>
      </c>
      <c r="G18" s="311"/>
      <c r="H18" s="311"/>
      <c r="I18" s="311"/>
      <c r="J18" s="359">
        <f t="shared" si="3"/>
        <v>0</v>
      </c>
      <c r="K18" s="311"/>
      <c r="L18" s="311"/>
      <c r="M18" s="311"/>
      <c r="N18" s="311"/>
      <c r="O18" s="266">
        <f>K18</f>
        <v>0</v>
      </c>
      <c r="P18" s="359">
        <f>+J18+E18</f>
        <v>165000</v>
      </c>
      <c r="R18" s="136"/>
    </row>
    <row r="19" spans="1:20" s="118" customFormat="1" ht="409.5" x14ac:dyDescent="0.2">
      <c r="A19" s="476" t="s">
        <v>526</v>
      </c>
      <c r="B19" s="476" t="s">
        <v>525</v>
      </c>
      <c r="C19" s="476" t="s">
        <v>250</v>
      </c>
      <c r="D19" s="267" t="s">
        <v>536</v>
      </c>
      <c r="E19" s="486">
        <f t="shared" si="5"/>
        <v>0</v>
      </c>
      <c r="F19" s="482"/>
      <c r="G19" s="482"/>
      <c r="H19" s="482"/>
      <c r="I19" s="482"/>
      <c r="J19" s="488">
        <f t="shared" si="3"/>
        <v>3576261.04</v>
      </c>
      <c r="K19" s="482"/>
      <c r="L19" s="482">
        <f>((2225100)+643666.04)+543000+134495</f>
        <v>3546261.04</v>
      </c>
      <c r="M19" s="482"/>
      <c r="N19" s="482"/>
      <c r="O19" s="493">
        <f>(K19+50000)-20000</f>
        <v>30000</v>
      </c>
      <c r="P19" s="486">
        <f>E19+J19</f>
        <v>3576261.04</v>
      </c>
      <c r="Q19" s="216">
        <f>P19</f>
        <v>3576261.04</v>
      </c>
    </row>
    <row r="20" spans="1:20" s="118" customFormat="1" ht="137.25" x14ac:dyDescent="0.2">
      <c r="A20" s="477"/>
      <c r="B20" s="477"/>
      <c r="C20" s="477"/>
      <c r="D20" s="268" t="s">
        <v>537</v>
      </c>
      <c r="E20" s="487"/>
      <c r="F20" s="490"/>
      <c r="G20" s="490"/>
      <c r="H20" s="490"/>
      <c r="I20" s="490"/>
      <c r="J20" s="477"/>
      <c r="K20" s="477"/>
      <c r="L20" s="490"/>
      <c r="M20" s="490"/>
      <c r="N20" s="490"/>
      <c r="O20" s="495"/>
      <c r="P20" s="487"/>
    </row>
    <row r="21" spans="1:20" ht="91.5" x14ac:dyDescent="0.2">
      <c r="A21" s="360" t="s">
        <v>340</v>
      </c>
      <c r="B21" s="360" t="s">
        <v>341</v>
      </c>
      <c r="C21" s="360" t="s">
        <v>342</v>
      </c>
      <c r="D21" s="355" t="s">
        <v>343</v>
      </c>
      <c r="E21" s="359">
        <f>F21</f>
        <v>4573000</v>
      </c>
      <c r="F21" s="311">
        <f>((3515000)+130000)+928000</f>
        <v>4573000</v>
      </c>
      <c r="G21" s="311"/>
      <c r="H21" s="311"/>
      <c r="I21" s="311"/>
      <c r="J21" s="359">
        <f>L21+O21</f>
        <v>0</v>
      </c>
      <c r="K21" s="311"/>
      <c r="L21" s="311"/>
      <c r="M21" s="311"/>
      <c r="N21" s="311"/>
      <c r="O21" s="266">
        <f>K21</f>
        <v>0</v>
      </c>
      <c r="P21" s="359">
        <f>E21+J21</f>
        <v>4573000</v>
      </c>
    </row>
    <row r="22" spans="1:20" ht="274.5" x14ac:dyDescent="0.2">
      <c r="A22" s="360" t="s">
        <v>344</v>
      </c>
      <c r="B22" s="360" t="s">
        <v>345</v>
      </c>
      <c r="C22" s="360" t="s">
        <v>71</v>
      </c>
      <c r="D22" s="360" t="s">
        <v>346</v>
      </c>
      <c r="E22" s="359">
        <f t="shared" si="5"/>
        <v>190000</v>
      </c>
      <c r="F22" s="311">
        <v>190000</v>
      </c>
      <c r="G22" s="311"/>
      <c r="H22" s="311"/>
      <c r="I22" s="311"/>
      <c r="J22" s="359">
        <f>L22+O22</f>
        <v>0</v>
      </c>
      <c r="K22" s="311"/>
      <c r="L22" s="311"/>
      <c r="M22" s="311"/>
      <c r="N22" s="311"/>
      <c r="O22" s="266">
        <f>K22</f>
        <v>0</v>
      </c>
      <c r="P22" s="359">
        <f>E22+J22</f>
        <v>190000</v>
      </c>
    </row>
    <row r="23" spans="1:20" ht="91.5" x14ac:dyDescent="0.2">
      <c r="A23" s="360" t="s">
        <v>840</v>
      </c>
      <c r="B23" s="360" t="s">
        <v>587</v>
      </c>
      <c r="C23" s="360" t="s">
        <v>71</v>
      </c>
      <c r="D23" s="360" t="s">
        <v>588</v>
      </c>
      <c r="E23" s="359">
        <f t="shared" si="5"/>
        <v>0</v>
      </c>
      <c r="F23" s="311"/>
      <c r="G23" s="311"/>
      <c r="H23" s="311"/>
      <c r="I23" s="311"/>
      <c r="J23" s="359">
        <f t="shared" ref="J23:J24" si="6">L23+O23</f>
        <v>100000</v>
      </c>
      <c r="K23" s="311">
        <v>100000</v>
      </c>
      <c r="L23" s="311"/>
      <c r="M23" s="311"/>
      <c r="N23" s="311"/>
      <c r="O23" s="266">
        <f t="shared" ref="O23:O24" si="7">K23</f>
        <v>100000</v>
      </c>
      <c r="P23" s="359">
        <f t="shared" ref="P23:P24" si="8">E23+J23</f>
        <v>100000</v>
      </c>
      <c r="R23" s="136" t="b">
        <f>K23='d5'!I11</f>
        <v>1</v>
      </c>
    </row>
    <row r="24" spans="1:20" ht="183" x14ac:dyDescent="0.2">
      <c r="A24" s="360" t="s">
        <v>842</v>
      </c>
      <c r="B24" s="360" t="s">
        <v>843</v>
      </c>
      <c r="C24" s="360" t="s">
        <v>71</v>
      </c>
      <c r="D24" s="360" t="s">
        <v>841</v>
      </c>
      <c r="E24" s="359">
        <f t="shared" si="5"/>
        <v>2370108</v>
      </c>
      <c r="F24" s="311">
        <f>(2170108)+200000</f>
        <v>2370108</v>
      </c>
      <c r="G24" s="311"/>
      <c r="H24" s="311"/>
      <c r="I24" s="311"/>
      <c r="J24" s="359">
        <f t="shared" si="6"/>
        <v>4018452</v>
      </c>
      <c r="K24" s="311">
        <f>(3518452)+500000</f>
        <v>4018452</v>
      </c>
      <c r="L24" s="311"/>
      <c r="M24" s="311"/>
      <c r="N24" s="311"/>
      <c r="O24" s="266">
        <f t="shared" si="7"/>
        <v>4018452</v>
      </c>
      <c r="P24" s="359">
        <f t="shared" si="8"/>
        <v>6388560</v>
      </c>
      <c r="R24" s="136" t="b">
        <f>K24='d5'!I14+'d5'!I12+'d5'!I13</f>
        <v>1</v>
      </c>
    </row>
    <row r="25" spans="1:20" ht="135" x14ac:dyDescent="0.2">
      <c r="A25" s="327" t="s">
        <v>232</v>
      </c>
      <c r="B25" s="327"/>
      <c r="C25" s="327"/>
      <c r="D25" s="328" t="s">
        <v>0</v>
      </c>
      <c r="E25" s="329">
        <f>E26</f>
        <v>1007877605.4</v>
      </c>
      <c r="F25" s="329">
        <f t="shared" ref="F25:G25" si="9">F26</f>
        <v>1007877605.4</v>
      </c>
      <c r="G25" s="329">
        <f t="shared" si="9"/>
        <v>662588424.39999998</v>
      </c>
      <c r="H25" s="329">
        <f>H26</f>
        <v>86949850</v>
      </c>
      <c r="I25" s="329">
        <f t="shared" ref="I25" si="10">I26</f>
        <v>0</v>
      </c>
      <c r="J25" s="329">
        <f>J26</f>
        <v>148987108.03999999</v>
      </c>
      <c r="K25" s="329">
        <f>K26</f>
        <v>44375493.039999999</v>
      </c>
      <c r="L25" s="329">
        <f>L26</f>
        <v>103434212.53</v>
      </c>
      <c r="M25" s="329">
        <f t="shared" ref="M25" si="11">M26</f>
        <v>27935261</v>
      </c>
      <c r="N25" s="329">
        <f>N26</f>
        <v>8627315.4000000004</v>
      </c>
      <c r="O25" s="329">
        <f>O26</f>
        <v>45552895.509999998</v>
      </c>
      <c r="P25" s="329">
        <f t="shared" ref="P25" si="12">P26</f>
        <v>1156864713.4400001</v>
      </c>
    </row>
    <row r="26" spans="1:20" ht="135" x14ac:dyDescent="0.2">
      <c r="A26" s="324" t="s">
        <v>233</v>
      </c>
      <c r="B26" s="324"/>
      <c r="C26" s="324"/>
      <c r="D26" s="325" t="s">
        <v>1</v>
      </c>
      <c r="E26" s="326">
        <f>SUM(E27:E38)</f>
        <v>1007877605.4</v>
      </c>
      <c r="F26" s="326">
        <f>SUM(F27:F38)</f>
        <v>1007877605.4</v>
      </c>
      <c r="G26" s="326">
        <f>SUM(G27:G38)</f>
        <v>662588424.39999998</v>
      </c>
      <c r="H26" s="326">
        <f>SUM(H27:H38)</f>
        <v>86949850</v>
      </c>
      <c r="I26" s="326">
        <f>SUM(I27:I38)</f>
        <v>0</v>
      </c>
      <c r="J26" s="326">
        <f>L26+O26</f>
        <v>148987108.03999999</v>
      </c>
      <c r="K26" s="326">
        <f>SUM(K27:K38)</f>
        <v>44375493.039999999</v>
      </c>
      <c r="L26" s="326">
        <f>SUM(L27:L38)</f>
        <v>103434212.53</v>
      </c>
      <c r="M26" s="326">
        <f>SUM(M27:M38)</f>
        <v>27935261</v>
      </c>
      <c r="N26" s="326">
        <f>SUM(N27:N38)</f>
        <v>8627315.4000000004</v>
      </c>
      <c r="O26" s="326">
        <f>SUM(O27:O38)</f>
        <v>45552895.509999998</v>
      </c>
      <c r="P26" s="326">
        <f t="shared" ref="P26:P38" si="13">E26+J26</f>
        <v>1156864713.4400001</v>
      </c>
      <c r="Q26" s="136" t="b">
        <f>P26=P27+P28+P29+P30+P31+P32+P33+P34+P36+P35+P38+P37</f>
        <v>1</v>
      </c>
      <c r="R26" s="136" t="b">
        <f>K26='d5'!I16</f>
        <v>0</v>
      </c>
    </row>
    <row r="27" spans="1:20" ht="46.5" x14ac:dyDescent="0.6">
      <c r="A27" s="360" t="s">
        <v>288</v>
      </c>
      <c r="B27" s="360" t="s">
        <v>289</v>
      </c>
      <c r="C27" s="360" t="s">
        <v>291</v>
      </c>
      <c r="D27" s="360" t="s">
        <v>292</v>
      </c>
      <c r="E27" s="359">
        <f>F27</f>
        <v>281084390</v>
      </c>
      <c r="F27" s="311">
        <f>((165508870+36411952+4442800+121320+24563500+1338350+273720+18519120+1241048+6540100+35500+100000)+4545735+913000)+3274731+3051220+890796+496030+8642500+22300+208820+12652+36000+10000+25000+2384000+346000-3000000+26483+102843</f>
        <v>281084390</v>
      </c>
      <c r="G27" s="311">
        <f>((165508870)+1966600+748360)+2684206+2501008+730163+406580+7160000</f>
        <v>181705787</v>
      </c>
      <c r="H27" s="311">
        <f>(26559008)+2384000+346000</f>
        <v>29289008</v>
      </c>
      <c r="I27" s="311"/>
      <c r="J27" s="359">
        <f t="shared" ref="J27:J35" si="14">L27+O27</f>
        <v>46544366</v>
      </c>
      <c r="K27" s="311">
        <f>(6653272)-500000+400000-292260+265777-295360+192517</f>
        <v>6423946</v>
      </c>
      <c r="L27" s="311">
        <f>39787420+197651+50465-10440-105090-7730-2000</f>
        <v>39910276</v>
      </c>
      <c r="M27" s="311">
        <f>(7603840)+197651</f>
        <v>7801491</v>
      </c>
      <c r="N27" s="311">
        <v>876470.92</v>
      </c>
      <c r="O27" s="266">
        <f>(K27+333000)-122856</f>
        <v>6634090</v>
      </c>
      <c r="P27" s="359">
        <f t="shared" si="13"/>
        <v>327628756</v>
      </c>
      <c r="Q27" s="14"/>
      <c r="R27" s="232" t="b">
        <f>K27='d5'!I17</f>
        <v>0</v>
      </c>
    </row>
    <row r="28" spans="1:20" ht="366" x14ac:dyDescent="0.55000000000000004">
      <c r="A28" s="360" t="s">
        <v>294</v>
      </c>
      <c r="B28" s="360" t="s">
        <v>290</v>
      </c>
      <c r="C28" s="360" t="s">
        <v>295</v>
      </c>
      <c r="D28" s="360" t="s">
        <v>612</v>
      </c>
      <c r="E28" s="359">
        <f t="shared" ref="E28:E33" si="15">F28</f>
        <v>559997228.39999998</v>
      </c>
      <c r="F28" s="311">
        <f>(566488460.4)+144832+139690+41202+384700-7068800+88000+57100+19234+72226+10000+26254+121000+166800+300000+100000+300000+178313+199999-3500000+648000-68114+17500-116668+290193+295000-178313+150000+3156560-1893940-572000</f>
        <v>559997228.39999998</v>
      </c>
      <c r="G28" s="311">
        <f>((377515910+1668354)+4047428.4)+118715+114502+33768+315300-5032600-95628</f>
        <v>378685749.39999998</v>
      </c>
      <c r="H28" s="311">
        <f>(42397676)-3500000+648000-572000</f>
        <v>38973676</v>
      </c>
      <c r="I28" s="311"/>
      <c r="J28" s="359">
        <f t="shared" si="14"/>
        <v>70734028.039999992</v>
      </c>
      <c r="K28" s="311">
        <f>(22878252.04)-280000+1000000+100000+360000+1751862+68114-17500+3156560+120000-360000-3156560+1893940-228000+1500000</f>
        <v>28786668.039999999</v>
      </c>
      <c r="L28" s="311">
        <f>(41102910)-24983+139930+21929-79100-6000-6900-5780-8000-20300+61117</f>
        <v>41174823</v>
      </c>
      <c r="M28" s="311">
        <f>(13732800)+139930</f>
        <v>13872730</v>
      </c>
      <c r="N28" s="311">
        <v>1030656.03</v>
      </c>
      <c r="O28" s="266">
        <f>(K28+844450+24983)-35779-61117</f>
        <v>29559205.039999999</v>
      </c>
      <c r="P28" s="359">
        <f t="shared" si="13"/>
        <v>630731256.43999994</v>
      </c>
      <c r="Q28" s="14"/>
      <c r="R28" s="136" t="b">
        <f>K28='d5'!I18+'d5'!I19+'d5'!I20+'d5'!I21+'d5'!I24+'d5'!I23+'d5'!I22</f>
        <v>0</v>
      </c>
      <c r="T28" s="108"/>
    </row>
    <row r="29" spans="1:20" ht="366" x14ac:dyDescent="0.2">
      <c r="A29" s="360" t="s">
        <v>298</v>
      </c>
      <c r="B29" s="360" t="s">
        <v>297</v>
      </c>
      <c r="C29" s="360" t="s">
        <v>299</v>
      </c>
      <c r="D29" s="360" t="s">
        <v>32</v>
      </c>
      <c r="E29" s="359">
        <f t="shared" si="15"/>
        <v>16762878</v>
      </c>
      <c r="F29" s="311">
        <f>((11987275+2637201+297700+3970+635400+74400+12000+1090080+19380+107800+5400+5000)+8400+14040)+16474+15860+3402+20048-211200+200+20048</f>
        <v>16762878</v>
      </c>
      <c r="G29" s="311">
        <f>(11987275)+13503+13005+2785+16430+20500+16430</f>
        <v>12069928</v>
      </c>
      <c r="H29" s="311">
        <v>1223374</v>
      </c>
      <c r="I29" s="311"/>
      <c r="J29" s="359">
        <f t="shared" si="14"/>
        <v>89000</v>
      </c>
      <c r="K29" s="311">
        <f>(9000)+30000</f>
        <v>39000</v>
      </c>
      <c r="L29" s="311">
        <v>50000</v>
      </c>
      <c r="M29" s="311"/>
      <c r="N29" s="311">
        <v>29628</v>
      </c>
      <c r="O29" s="266">
        <f>K29</f>
        <v>39000</v>
      </c>
      <c r="P29" s="359">
        <f t="shared" si="13"/>
        <v>16851878</v>
      </c>
      <c r="R29" s="136" t="b">
        <f>K29='d5'!I25</f>
        <v>1</v>
      </c>
    </row>
    <row r="30" spans="1:20" ht="183" x14ac:dyDescent="0.2">
      <c r="A30" s="360" t="s">
        <v>300</v>
      </c>
      <c r="B30" s="360" t="s">
        <v>281</v>
      </c>
      <c r="C30" s="360" t="s">
        <v>269</v>
      </c>
      <c r="D30" s="360" t="s">
        <v>33</v>
      </c>
      <c r="E30" s="359">
        <f t="shared" si="15"/>
        <v>29471313</v>
      </c>
      <c r="F30" s="311">
        <f>((19190813+4221979+572200+13650+0+820000+23640+304700+1254870+46020+589810+263715+3840+30500+200)+400078)+492898+500400+742000</f>
        <v>29471313</v>
      </c>
      <c r="G30" s="311">
        <f>(19190813)+404015+509100</f>
        <v>20103928</v>
      </c>
      <c r="H30" s="311">
        <f>(2186576)+742000</f>
        <v>2928576</v>
      </c>
      <c r="I30" s="311"/>
      <c r="J30" s="359">
        <f t="shared" si="14"/>
        <v>8951670</v>
      </c>
      <c r="K30" s="311">
        <f>((18000+2000000+300000)+300000+60000)+1500000+60000</f>
        <v>4238000</v>
      </c>
      <c r="L30" s="311">
        <f>(4579670)+35000+8000-13000</f>
        <v>4609670</v>
      </c>
      <c r="M30" s="311">
        <f>(1037200)+35000</f>
        <v>1072200</v>
      </c>
      <c r="N30" s="311">
        <v>366037.45</v>
      </c>
      <c r="O30" s="266">
        <f>(K30+134000)-30000</f>
        <v>4342000</v>
      </c>
      <c r="P30" s="359">
        <f t="shared" si="13"/>
        <v>38422983</v>
      </c>
      <c r="R30" s="136" t="b">
        <f>K30='d5'!I26+'d5'!I27</f>
        <v>1</v>
      </c>
    </row>
    <row r="31" spans="1:20" ht="137.25" x14ac:dyDescent="0.2">
      <c r="A31" s="360" t="s">
        <v>301</v>
      </c>
      <c r="B31" s="360" t="s">
        <v>302</v>
      </c>
      <c r="C31" s="360" t="s">
        <v>303</v>
      </c>
      <c r="D31" s="360" t="s">
        <v>304</v>
      </c>
      <c r="E31" s="359">
        <f t="shared" si="15"/>
        <v>96519104</v>
      </c>
      <c r="F31" s="311">
        <f>((55361620+12179557+98200+14420+3078726+14900+65640+8051698+582633+3183200+1360000+15250000+502876)+427000)+726388-2319488-2000000-58266</f>
        <v>96519104</v>
      </c>
      <c r="G31" s="311">
        <f>(55361620)+595400-1557388</f>
        <v>54399632</v>
      </c>
      <c r="H31" s="311">
        <f>(13186731)+427000-58266</f>
        <v>13555465</v>
      </c>
      <c r="I31" s="311"/>
      <c r="J31" s="359">
        <f>L31+O31</f>
        <v>17652608</v>
      </c>
      <c r="K31" s="311">
        <f>(216557)+58266</f>
        <v>274823</v>
      </c>
      <c r="L31" s="311">
        <f>(15728160-15000)-14521.47-15200-46000+1649625</f>
        <v>17287063.530000001</v>
      </c>
      <c r="M31" s="311">
        <f>(4054000)+935200</f>
        <v>4989200</v>
      </c>
      <c r="N31" s="311">
        <f>(6022813)+36000+69000+13000+180300</f>
        <v>6321113</v>
      </c>
      <c r="O31" s="266">
        <f>(K31+15000)+29721.47+46000</f>
        <v>365544.47</v>
      </c>
      <c r="P31" s="359">
        <f t="shared" si="13"/>
        <v>114171712</v>
      </c>
      <c r="R31" s="136" t="b">
        <f>K31='d5'!I28+'d5'!I29</f>
        <v>0</v>
      </c>
    </row>
    <row r="32" spans="1:20" ht="91.5" x14ac:dyDescent="0.2">
      <c r="A32" s="360" t="s">
        <v>306</v>
      </c>
      <c r="B32" s="360" t="s">
        <v>307</v>
      </c>
      <c r="C32" s="360" t="s">
        <v>308</v>
      </c>
      <c r="D32" s="360" t="s">
        <v>305</v>
      </c>
      <c r="E32" s="359">
        <f t="shared" si="15"/>
        <v>4618170</v>
      </c>
      <c r="F32" s="311">
        <f>((3056197+672364+210900+430000+3120+40000+126900+4845+57140+400+2500)+168622)+51282-206100</f>
        <v>4618170</v>
      </c>
      <c r="G32" s="311">
        <f>(3056197)+42034-158800</f>
        <v>2939431</v>
      </c>
      <c r="H32" s="311">
        <v>192737</v>
      </c>
      <c r="I32" s="311"/>
      <c r="J32" s="359">
        <f t="shared" si="14"/>
        <v>73740</v>
      </c>
      <c r="K32" s="311"/>
      <c r="L32" s="311">
        <v>73740</v>
      </c>
      <c r="M32" s="311"/>
      <c r="N32" s="311"/>
      <c r="O32" s="266">
        <f t="shared" ref="O32:O38" si="16">K32</f>
        <v>0</v>
      </c>
      <c r="P32" s="359">
        <f t="shared" si="13"/>
        <v>4691910</v>
      </c>
      <c r="R32" s="136"/>
    </row>
    <row r="33" spans="1:18" s="118" customFormat="1" ht="91.5" x14ac:dyDescent="0.2">
      <c r="A33" s="355" t="s">
        <v>491</v>
      </c>
      <c r="B33" s="355" t="s">
        <v>492</v>
      </c>
      <c r="C33" s="355" t="s">
        <v>308</v>
      </c>
      <c r="D33" s="355" t="s">
        <v>490</v>
      </c>
      <c r="E33" s="359">
        <f t="shared" si="15"/>
        <v>15312740</v>
      </c>
      <c r="F33" s="311">
        <f>((11912850+2620827+577800+1200+362900+12480+440620+8475+262150+2705+4360+400+3840+1416600)-1905368)+121901-598000+67000</f>
        <v>15312740</v>
      </c>
      <c r="G33" s="311">
        <f>((11912850+1161200)-1421200)+99919-490000</f>
        <v>11262769</v>
      </c>
      <c r="H33" s="311">
        <f>(689114)+67000</f>
        <v>756114</v>
      </c>
      <c r="I33" s="357"/>
      <c r="J33" s="359">
        <f t="shared" si="14"/>
        <v>352640</v>
      </c>
      <c r="K33" s="311">
        <f>(9000)+15000</f>
        <v>24000</v>
      </c>
      <c r="L33" s="311">
        <v>328640</v>
      </c>
      <c r="M33" s="311">
        <v>199640</v>
      </c>
      <c r="N33" s="311">
        <v>3410</v>
      </c>
      <c r="O33" s="266">
        <f t="shared" si="16"/>
        <v>24000</v>
      </c>
      <c r="P33" s="359">
        <f t="shared" si="13"/>
        <v>15665380</v>
      </c>
      <c r="R33" s="136" t="b">
        <f>K33='d5'!I30</f>
        <v>1</v>
      </c>
    </row>
    <row r="34" spans="1:18" s="118" customFormat="1" ht="91.5" x14ac:dyDescent="0.2">
      <c r="A34" s="355" t="s">
        <v>523</v>
      </c>
      <c r="B34" s="355" t="s">
        <v>524</v>
      </c>
      <c r="C34" s="355" t="s">
        <v>308</v>
      </c>
      <c r="D34" s="360" t="s">
        <v>522</v>
      </c>
      <c r="E34" s="356">
        <f>F34</f>
        <v>150770</v>
      </c>
      <c r="F34" s="357">
        <f>(148960)+1810</f>
        <v>150770</v>
      </c>
      <c r="G34" s="357"/>
      <c r="H34" s="357"/>
      <c r="I34" s="357"/>
      <c r="J34" s="359">
        <f t="shared" si="14"/>
        <v>0</v>
      </c>
      <c r="K34" s="357"/>
      <c r="L34" s="357"/>
      <c r="M34" s="357"/>
      <c r="N34" s="357"/>
      <c r="O34" s="266">
        <f t="shared" si="16"/>
        <v>0</v>
      </c>
      <c r="P34" s="359">
        <f t="shared" si="13"/>
        <v>150770</v>
      </c>
      <c r="R34" s="136"/>
    </row>
    <row r="35" spans="1:18" s="118" customFormat="1" ht="91.5" x14ac:dyDescent="0.2">
      <c r="A35" s="355" t="s">
        <v>797</v>
      </c>
      <c r="B35" s="355" t="s">
        <v>798</v>
      </c>
      <c r="C35" s="355" t="s">
        <v>308</v>
      </c>
      <c r="D35" s="360" t="s">
        <v>799</v>
      </c>
      <c r="E35" s="356">
        <f>F35</f>
        <v>2036012</v>
      </c>
      <c r="F35" s="357">
        <v>2036012</v>
      </c>
      <c r="G35" s="357">
        <f>1161200+260000</f>
        <v>1421200</v>
      </c>
      <c r="H35" s="357">
        <v>30900</v>
      </c>
      <c r="I35" s="357"/>
      <c r="J35" s="359">
        <f t="shared" si="14"/>
        <v>200000</v>
      </c>
      <c r="K35" s="357">
        <v>200000</v>
      </c>
      <c r="L35" s="357"/>
      <c r="M35" s="357"/>
      <c r="N35" s="357"/>
      <c r="O35" s="266">
        <f t="shared" si="16"/>
        <v>200000</v>
      </c>
      <c r="P35" s="359">
        <f t="shared" si="13"/>
        <v>2236012</v>
      </c>
      <c r="R35" s="136"/>
    </row>
    <row r="36" spans="1:18" s="118" customFormat="1" ht="366" x14ac:dyDescent="0.2">
      <c r="A36" s="360" t="s">
        <v>801</v>
      </c>
      <c r="B36" s="360" t="s">
        <v>802</v>
      </c>
      <c r="C36" s="360" t="s">
        <v>273</v>
      </c>
      <c r="D36" s="360" t="s">
        <v>800</v>
      </c>
      <c r="E36" s="356">
        <f>F36</f>
        <v>1925000</v>
      </c>
      <c r="F36" s="357">
        <v>1925000</v>
      </c>
      <c r="G36" s="357"/>
      <c r="H36" s="357"/>
      <c r="I36" s="357"/>
      <c r="J36" s="359">
        <f>L36+O36</f>
        <v>0</v>
      </c>
      <c r="K36" s="357"/>
      <c r="L36" s="357"/>
      <c r="M36" s="357"/>
      <c r="N36" s="357"/>
      <c r="O36" s="266">
        <f>K36</f>
        <v>0</v>
      </c>
      <c r="P36" s="359">
        <f>E36+J36</f>
        <v>1925000</v>
      </c>
      <c r="R36" s="136"/>
    </row>
    <row r="37" spans="1:18" s="118" customFormat="1" ht="183" x14ac:dyDescent="0.2">
      <c r="A37" s="360" t="s">
        <v>975</v>
      </c>
      <c r="B37" s="360" t="s">
        <v>974</v>
      </c>
      <c r="C37" s="360" t="s">
        <v>285</v>
      </c>
      <c r="D37" s="360" t="s">
        <v>976</v>
      </c>
      <c r="E37" s="356">
        <f>F37</f>
        <v>0</v>
      </c>
      <c r="F37" s="357"/>
      <c r="G37" s="357"/>
      <c r="H37" s="357"/>
      <c r="I37" s="357"/>
      <c r="J37" s="359">
        <f>L37+O37</f>
        <v>749056</v>
      </c>
      <c r="K37" s="357">
        <v>749056</v>
      </c>
      <c r="L37" s="357"/>
      <c r="M37" s="357"/>
      <c r="N37" s="357"/>
      <c r="O37" s="266">
        <f>K37</f>
        <v>749056</v>
      </c>
      <c r="P37" s="359">
        <f>E37+J37</f>
        <v>749056</v>
      </c>
      <c r="R37" s="136" t="b">
        <f>K37='d5'!I32</f>
        <v>0</v>
      </c>
    </row>
    <row r="38" spans="1:18" s="118" customFormat="1" ht="46.5" x14ac:dyDescent="0.2">
      <c r="A38" s="360" t="s">
        <v>310</v>
      </c>
      <c r="B38" s="360" t="s">
        <v>311</v>
      </c>
      <c r="C38" s="360" t="s">
        <v>312</v>
      </c>
      <c r="D38" s="360" t="s">
        <v>67</v>
      </c>
      <c r="E38" s="356">
        <f>F38</f>
        <v>0</v>
      </c>
      <c r="F38" s="357">
        <f>(2700000)-2700000</f>
        <v>0</v>
      </c>
      <c r="G38" s="357"/>
      <c r="H38" s="357"/>
      <c r="I38" s="357"/>
      <c r="J38" s="359">
        <f t="shared" ref="J38" si="17">L38+O38</f>
        <v>3640000</v>
      </c>
      <c r="K38" s="357">
        <f>(5000000)-848138-1751862+1440000+500000-700000</f>
        <v>3640000</v>
      </c>
      <c r="L38" s="357"/>
      <c r="M38" s="357"/>
      <c r="N38" s="357"/>
      <c r="O38" s="266">
        <f t="shared" si="16"/>
        <v>3640000</v>
      </c>
      <c r="P38" s="359">
        <f t="shared" si="13"/>
        <v>3640000</v>
      </c>
      <c r="R38" s="136" t="b">
        <f>K38='d5'!I33</f>
        <v>1</v>
      </c>
    </row>
    <row r="39" spans="1:18" ht="135" x14ac:dyDescent="0.2">
      <c r="A39" s="327" t="s">
        <v>234</v>
      </c>
      <c r="B39" s="327"/>
      <c r="C39" s="327"/>
      <c r="D39" s="328" t="s">
        <v>36</v>
      </c>
      <c r="E39" s="329">
        <f>E40</f>
        <v>366679596.38</v>
      </c>
      <c r="F39" s="329">
        <f t="shared" ref="F39:G39" si="18">F40</f>
        <v>366679596.38</v>
      </c>
      <c r="G39" s="329">
        <f t="shared" si="18"/>
        <v>3641900</v>
      </c>
      <c r="H39" s="329">
        <f>H40</f>
        <v>215400</v>
      </c>
      <c r="I39" s="329">
        <f t="shared" ref="I39" si="19">I40</f>
        <v>0</v>
      </c>
      <c r="J39" s="329">
        <f>J40</f>
        <v>37285758</v>
      </c>
      <c r="K39" s="329">
        <f>K40</f>
        <v>30689967</v>
      </c>
      <c r="L39" s="329">
        <f>L40</f>
        <v>5853391</v>
      </c>
      <c r="M39" s="329">
        <f t="shared" ref="M39" si="20">M40</f>
        <v>0</v>
      </c>
      <c r="N39" s="329">
        <f>N40</f>
        <v>0</v>
      </c>
      <c r="O39" s="329">
        <f>O40</f>
        <v>31432367</v>
      </c>
      <c r="P39" s="329">
        <f>P40</f>
        <v>403965354.38</v>
      </c>
    </row>
    <row r="40" spans="1:18" ht="135" x14ac:dyDescent="0.2">
      <c r="A40" s="324" t="s">
        <v>235</v>
      </c>
      <c r="B40" s="324"/>
      <c r="C40" s="324"/>
      <c r="D40" s="325" t="s">
        <v>59</v>
      </c>
      <c r="E40" s="326">
        <f>SUM(E41:E52)</f>
        <v>366679596.38</v>
      </c>
      <c r="F40" s="326">
        <f t="shared" ref="F40:H40" si="21">SUM(F41:F52)</f>
        <v>366679596.38</v>
      </c>
      <c r="G40" s="326">
        <f t="shared" si="21"/>
        <v>3641900</v>
      </c>
      <c r="H40" s="326">
        <f t="shared" si="21"/>
        <v>215400</v>
      </c>
      <c r="I40" s="326">
        <f>SUM(I41:I52)</f>
        <v>0</v>
      </c>
      <c r="J40" s="326">
        <f>L40+O40</f>
        <v>37285758</v>
      </c>
      <c r="K40" s="326">
        <f>SUM(K41:K52)</f>
        <v>30689967</v>
      </c>
      <c r="L40" s="326">
        <f t="shared" ref="L40:N40" si="22">SUM(L41:L52)</f>
        <v>5853391</v>
      </c>
      <c r="M40" s="326">
        <f t="shared" si="22"/>
        <v>0</v>
      </c>
      <c r="N40" s="326">
        <f t="shared" si="22"/>
        <v>0</v>
      </c>
      <c r="O40" s="326">
        <f>SUM(O41:O52)</f>
        <v>31432367</v>
      </c>
      <c r="P40" s="326">
        <f t="shared" ref="P40:P52" si="23">E40+J40</f>
        <v>403965354.38</v>
      </c>
      <c r="Q40" s="136" t="b">
        <f>P40=P42+P43+P44+P45+P46+P47+P48+P49+P50+P41+P51+P52</f>
        <v>1</v>
      </c>
      <c r="R40" s="136" t="b">
        <f>K40='d5'!I34</f>
        <v>0</v>
      </c>
    </row>
    <row r="41" spans="1:18" ht="228.75" x14ac:dyDescent="0.2">
      <c r="A41" s="360" t="s">
        <v>705</v>
      </c>
      <c r="B41" s="360" t="s">
        <v>335</v>
      </c>
      <c r="C41" s="360" t="s">
        <v>333</v>
      </c>
      <c r="D41" s="360" t="s">
        <v>334</v>
      </c>
      <c r="E41" s="359">
        <f>F41</f>
        <v>2501100</v>
      </c>
      <c r="F41" s="311">
        <v>2501100</v>
      </c>
      <c r="G41" s="311">
        <v>1884600</v>
      </c>
      <c r="H41" s="311">
        <v>101500</v>
      </c>
      <c r="I41" s="311"/>
      <c r="J41" s="359">
        <f t="shared" ref="J41:J52" si="24">L41+O41</f>
        <v>0</v>
      </c>
      <c r="K41" s="359"/>
      <c r="L41" s="359"/>
      <c r="M41" s="359"/>
      <c r="N41" s="359"/>
      <c r="O41" s="266">
        <f>K41</f>
        <v>0</v>
      </c>
      <c r="P41" s="359">
        <f t="shared" si="23"/>
        <v>2501100</v>
      </c>
      <c r="Q41" s="136"/>
      <c r="R41" s="136"/>
    </row>
    <row r="42" spans="1:18" ht="91.5" x14ac:dyDescent="0.2">
      <c r="A42" s="360" t="s">
        <v>313</v>
      </c>
      <c r="B42" s="360" t="s">
        <v>309</v>
      </c>
      <c r="C42" s="360" t="s">
        <v>314</v>
      </c>
      <c r="D42" s="360" t="s">
        <v>37</v>
      </c>
      <c r="E42" s="359">
        <f>F42</f>
        <v>201217642</v>
      </c>
      <c r="F42" s="311">
        <f>(((190671412+426500+500000)-3985900+13242930-25000+167700)+200)+50000-277700+77700+200000+1000000-1000000+169800</f>
        <v>201217642</v>
      </c>
      <c r="G42" s="311"/>
      <c r="H42" s="311"/>
      <c r="I42" s="311"/>
      <c r="J42" s="359">
        <f t="shared" si="24"/>
        <v>22043414</v>
      </c>
      <c r="K42" s="311">
        <f>(12634714)+825600+352700+168400+1398400+160300+2700000+1108000+270000-37400</f>
        <v>19580714</v>
      </c>
      <c r="L42" s="311">
        <f>(4218000)-2055300</f>
        <v>2162700</v>
      </c>
      <c r="M42" s="311"/>
      <c r="N42" s="311"/>
      <c r="O42" s="266">
        <f>K42+300000</f>
        <v>19880714</v>
      </c>
      <c r="P42" s="359">
        <f t="shared" si="23"/>
        <v>223261056</v>
      </c>
      <c r="R42" s="136" t="b">
        <f>K42='d5'!I36+'d5'!I37+'d5'!I38</f>
        <v>0</v>
      </c>
    </row>
    <row r="43" spans="1:18" ht="137.25" x14ac:dyDescent="0.2">
      <c r="A43" s="360" t="s">
        <v>315</v>
      </c>
      <c r="B43" s="360" t="s">
        <v>316</v>
      </c>
      <c r="C43" s="360" t="s">
        <v>317</v>
      </c>
      <c r="D43" s="360" t="s">
        <v>318</v>
      </c>
      <c r="E43" s="359">
        <f t="shared" ref="E43:E52" si="25">F43</f>
        <v>59883500</v>
      </c>
      <c r="F43" s="311">
        <f>(59783500)+100000</f>
        <v>59883500</v>
      </c>
      <c r="G43" s="311"/>
      <c r="H43" s="311"/>
      <c r="I43" s="311"/>
      <c r="J43" s="359">
        <f t="shared" si="24"/>
        <v>472091</v>
      </c>
      <c r="K43" s="311">
        <v>126000</v>
      </c>
      <c r="L43" s="311">
        <f>(1038271)-692180</f>
        <v>346091</v>
      </c>
      <c r="M43" s="311"/>
      <c r="N43" s="311"/>
      <c r="O43" s="266">
        <f>K43</f>
        <v>126000</v>
      </c>
      <c r="P43" s="359">
        <f t="shared" si="23"/>
        <v>60355591</v>
      </c>
      <c r="R43" s="136" t="b">
        <f>K43='d5'!I39</f>
        <v>1</v>
      </c>
    </row>
    <row r="44" spans="1:18" ht="137.25" x14ac:dyDescent="0.2">
      <c r="A44" s="360" t="s">
        <v>319</v>
      </c>
      <c r="B44" s="360" t="s">
        <v>320</v>
      </c>
      <c r="C44" s="360" t="s">
        <v>321</v>
      </c>
      <c r="D44" s="360" t="s">
        <v>538</v>
      </c>
      <c r="E44" s="359">
        <f t="shared" si="25"/>
        <v>61625370</v>
      </c>
      <c r="F44" s="311">
        <f>((57684870)+3985900-234000)+188600</f>
        <v>61625370</v>
      </c>
      <c r="G44" s="311"/>
      <c r="H44" s="311"/>
      <c r="I44" s="311"/>
      <c r="J44" s="359">
        <f t="shared" si="24"/>
        <v>2706300</v>
      </c>
      <c r="K44" s="311">
        <f>939600-99000</f>
        <v>840600</v>
      </c>
      <c r="L44" s="311">
        <f>(5254900)-3731600</f>
        <v>1523300</v>
      </c>
      <c r="M44" s="311"/>
      <c r="N44" s="311"/>
      <c r="O44" s="266">
        <f>K44+342400</f>
        <v>1183000</v>
      </c>
      <c r="P44" s="359">
        <f t="shared" si="23"/>
        <v>64331670</v>
      </c>
      <c r="R44" s="136" t="b">
        <f>K44='d5'!I40</f>
        <v>1</v>
      </c>
    </row>
    <row r="45" spans="1:18" ht="91.5" x14ac:dyDescent="0.2">
      <c r="A45" s="360" t="s">
        <v>322</v>
      </c>
      <c r="B45" s="360" t="s">
        <v>323</v>
      </c>
      <c r="C45" s="360" t="s">
        <v>324</v>
      </c>
      <c r="D45" s="360" t="s">
        <v>325</v>
      </c>
      <c r="E45" s="359">
        <f t="shared" si="25"/>
        <v>9871950</v>
      </c>
      <c r="F45" s="311">
        <f>9871950-949000+949000</f>
        <v>9871950</v>
      </c>
      <c r="G45" s="311"/>
      <c r="H45" s="311"/>
      <c r="I45" s="311"/>
      <c r="J45" s="359">
        <f t="shared" si="24"/>
        <v>3499300</v>
      </c>
      <c r="K45" s="311">
        <f>1600000</f>
        <v>1600000</v>
      </c>
      <c r="L45" s="311">
        <f>(5397900)-3598600</f>
        <v>1799300</v>
      </c>
      <c r="M45" s="311"/>
      <c r="N45" s="311"/>
      <c r="O45" s="266">
        <f>K45+100000</f>
        <v>1700000</v>
      </c>
      <c r="P45" s="359">
        <f t="shared" si="23"/>
        <v>13371250</v>
      </c>
      <c r="R45" s="136" t="b">
        <f>K45='d5'!I41</f>
        <v>1</v>
      </c>
    </row>
    <row r="46" spans="1:18" ht="183" x14ac:dyDescent="0.2">
      <c r="A46" s="360" t="s">
        <v>326</v>
      </c>
      <c r="B46" s="355" t="s">
        <v>327</v>
      </c>
      <c r="C46" s="355" t="s">
        <v>539</v>
      </c>
      <c r="D46" s="360" t="s">
        <v>328</v>
      </c>
      <c r="E46" s="359">
        <f t="shared" si="25"/>
        <v>8952218</v>
      </c>
      <c r="F46" s="311">
        <f>(8891316)+60902</f>
        <v>8952218</v>
      </c>
      <c r="G46" s="311"/>
      <c r="H46" s="311"/>
      <c r="I46" s="311"/>
      <c r="J46" s="359">
        <f t="shared" si="24"/>
        <v>0</v>
      </c>
      <c r="K46" s="311"/>
      <c r="L46" s="311"/>
      <c r="M46" s="311"/>
      <c r="N46" s="311"/>
      <c r="O46" s="266">
        <f t="shared" ref="O46:O52" si="26">K46</f>
        <v>0</v>
      </c>
      <c r="P46" s="359">
        <f t="shared" si="23"/>
        <v>8952218</v>
      </c>
      <c r="R46" s="136"/>
    </row>
    <row r="47" spans="1:18" ht="183" x14ac:dyDescent="0.2">
      <c r="A47" s="360" t="s">
        <v>577</v>
      </c>
      <c r="B47" s="360" t="s">
        <v>578</v>
      </c>
      <c r="C47" s="355" t="s">
        <v>329</v>
      </c>
      <c r="D47" s="269" t="s">
        <v>579</v>
      </c>
      <c r="E47" s="359">
        <f t="shared" si="25"/>
        <v>13400746.379999999</v>
      </c>
      <c r="F47" s="311">
        <f>(8972700)+4428046.38</f>
        <v>13400746.379999999</v>
      </c>
      <c r="G47" s="311"/>
      <c r="H47" s="311"/>
      <c r="I47" s="311"/>
      <c r="J47" s="359">
        <f t="shared" si="24"/>
        <v>0</v>
      </c>
      <c r="K47" s="311"/>
      <c r="L47" s="311"/>
      <c r="M47" s="311"/>
      <c r="N47" s="311"/>
      <c r="O47" s="266">
        <f t="shared" si="26"/>
        <v>0</v>
      </c>
      <c r="P47" s="359">
        <f t="shared" si="23"/>
        <v>13400746.379999999</v>
      </c>
      <c r="R47" s="136"/>
    </row>
    <row r="48" spans="1:18" ht="183" x14ac:dyDescent="0.2">
      <c r="A48" s="360" t="s">
        <v>582</v>
      </c>
      <c r="B48" s="360" t="s">
        <v>581</v>
      </c>
      <c r="C48" s="355" t="s">
        <v>329</v>
      </c>
      <c r="D48" s="269" t="s">
        <v>580</v>
      </c>
      <c r="E48" s="359">
        <f t="shared" si="25"/>
        <v>1734200</v>
      </c>
      <c r="F48" s="311">
        <v>1734200</v>
      </c>
      <c r="G48" s="311"/>
      <c r="H48" s="311"/>
      <c r="I48" s="311"/>
      <c r="J48" s="359">
        <f t="shared" si="24"/>
        <v>0</v>
      </c>
      <c r="K48" s="311"/>
      <c r="L48" s="311"/>
      <c r="M48" s="311"/>
      <c r="N48" s="311"/>
      <c r="O48" s="266">
        <f t="shared" si="26"/>
        <v>0</v>
      </c>
      <c r="P48" s="359">
        <f t="shared" si="23"/>
        <v>1734200</v>
      </c>
      <c r="R48" s="136"/>
    </row>
    <row r="49" spans="1:20" s="118" customFormat="1" ht="137.25" x14ac:dyDescent="0.2">
      <c r="A49" s="360" t="s">
        <v>495</v>
      </c>
      <c r="B49" s="360" t="s">
        <v>497</v>
      </c>
      <c r="C49" s="355" t="s">
        <v>329</v>
      </c>
      <c r="D49" s="269" t="s">
        <v>493</v>
      </c>
      <c r="E49" s="359">
        <f t="shared" si="25"/>
        <v>2416670</v>
      </c>
      <c r="F49" s="311">
        <f>(2416670)</f>
        <v>2416670</v>
      </c>
      <c r="G49" s="311">
        <v>1757300</v>
      </c>
      <c r="H49" s="311">
        <f>(113600)+300</f>
        <v>113900</v>
      </c>
      <c r="I49" s="311"/>
      <c r="J49" s="359">
        <f t="shared" si="24"/>
        <v>129704</v>
      </c>
      <c r="K49" s="311">
        <f>167704-60000</f>
        <v>107704</v>
      </c>
      <c r="L49" s="311">
        <v>22000</v>
      </c>
      <c r="M49" s="311"/>
      <c r="N49" s="311"/>
      <c r="O49" s="266">
        <f t="shared" si="26"/>
        <v>107704</v>
      </c>
      <c r="P49" s="359">
        <f t="shared" si="23"/>
        <v>2546374</v>
      </c>
      <c r="R49" s="136" t="b">
        <f>K49='d5'!I42</f>
        <v>1</v>
      </c>
    </row>
    <row r="50" spans="1:20" s="118" customFormat="1" ht="91.5" x14ac:dyDescent="0.2">
      <c r="A50" s="360" t="s">
        <v>496</v>
      </c>
      <c r="B50" s="360" t="s">
        <v>498</v>
      </c>
      <c r="C50" s="355" t="s">
        <v>329</v>
      </c>
      <c r="D50" s="269" t="s">
        <v>494</v>
      </c>
      <c r="E50" s="359">
        <f t="shared" si="25"/>
        <v>4926200</v>
      </c>
      <c r="F50" s="311">
        <f>((3360000)+949000+126200-949000+576000)+864000</f>
        <v>4926200</v>
      </c>
      <c r="G50" s="311"/>
      <c r="H50" s="311"/>
      <c r="I50" s="311"/>
      <c r="J50" s="359">
        <f t="shared" si="24"/>
        <v>0</v>
      </c>
      <c r="K50" s="311"/>
      <c r="L50" s="311"/>
      <c r="M50" s="311"/>
      <c r="N50" s="311"/>
      <c r="O50" s="266">
        <f t="shared" si="26"/>
        <v>0</v>
      </c>
      <c r="P50" s="359">
        <f t="shared" si="23"/>
        <v>4926200</v>
      </c>
      <c r="R50" s="136"/>
    </row>
    <row r="51" spans="1:20" s="118" customFormat="1" ht="91.5" x14ac:dyDescent="0.2">
      <c r="A51" s="360" t="s">
        <v>863</v>
      </c>
      <c r="B51" s="360" t="s">
        <v>287</v>
      </c>
      <c r="C51" s="360" t="s">
        <v>250</v>
      </c>
      <c r="D51" s="360" t="s">
        <v>57</v>
      </c>
      <c r="E51" s="359">
        <f t="shared" si="25"/>
        <v>0</v>
      </c>
      <c r="F51" s="311"/>
      <c r="G51" s="311"/>
      <c r="H51" s="311"/>
      <c r="I51" s="311"/>
      <c r="J51" s="359">
        <f t="shared" si="24"/>
        <v>6890192</v>
      </c>
      <c r="K51" s="311">
        <f>(200000+600000+208200+167638+7587376+25000-208200-167638-1600000+130216)+390000+37400-500000-11300+11300+80000-390000+96000+192200+42000</f>
        <v>6890192</v>
      </c>
      <c r="L51" s="311"/>
      <c r="M51" s="311"/>
      <c r="N51" s="311"/>
      <c r="O51" s="266">
        <f t="shared" si="26"/>
        <v>6890192</v>
      </c>
      <c r="P51" s="359">
        <f t="shared" si="23"/>
        <v>6890192</v>
      </c>
      <c r="R51" s="136" t="b">
        <f>K51='d5'!I43+'d5'!I44+'d5'!I45</f>
        <v>0</v>
      </c>
    </row>
    <row r="52" spans="1:20" s="118" customFormat="1" ht="91.5" x14ac:dyDescent="0.2">
      <c r="A52" s="360" t="s">
        <v>865</v>
      </c>
      <c r="B52" s="360" t="s">
        <v>587</v>
      </c>
      <c r="C52" s="360" t="s">
        <v>71</v>
      </c>
      <c r="D52" s="360" t="s">
        <v>588</v>
      </c>
      <c r="E52" s="359">
        <f t="shared" si="25"/>
        <v>150000</v>
      </c>
      <c r="F52" s="311">
        <f>(100000)+50000</f>
        <v>150000</v>
      </c>
      <c r="G52" s="311"/>
      <c r="H52" s="311"/>
      <c r="I52" s="311"/>
      <c r="J52" s="359">
        <f t="shared" si="24"/>
        <v>1544757</v>
      </c>
      <c r="K52" s="311">
        <f>(935992+218765)+390000</f>
        <v>1544757</v>
      </c>
      <c r="L52" s="311"/>
      <c r="M52" s="311"/>
      <c r="N52" s="311"/>
      <c r="O52" s="266">
        <f t="shared" si="26"/>
        <v>1544757</v>
      </c>
      <c r="P52" s="359">
        <f t="shared" si="23"/>
        <v>1694757</v>
      </c>
      <c r="R52" s="136" t="b">
        <f>K52='d5'!I46</f>
        <v>1</v>
      </c>
    </row>
    <row r="53" spans="1:20" ht="225" x14ac:dyDescent="0.2">
      <c r="A53" s="327" t="s">
        <v>236</v>
      </c>
      <c r="B53" s="327"/>
      <c r="C53" s="327"/>
      <c r="D53" s="328" t="s">
        <v>60</v>
      </c>
      <c r="E53" s="329">
        <f>E54</f>
        <v>706746123</v>
      </c>
      <c r="F53" s="329">
        <f t="shared" ref="F53:G53" si="27">F54</f>
        <v>706746123</v>
      </c>
      <c r="G53" s="329">
        <f t="shared" si="27"/>
        <v>45497797</v>
      </c>
      <c r="H53" s="329">
        <f>H54</f>
        <v>1804796</v>
      </c>
      <c r="I53" s="329">
        <f t="shared" ref="I53" si="28">I54</f>
        <v>0</v>
      </c>
      <c r="J53" s="329">
        <f>J54</f>
        <v>25675120.48</v>
      </c>
      <c r="K53" s="329">
        <f>K54</f>
        <v>25134215.48</v>
      </c>
      <c r="L53" s="329">
        <f>L54</f>
        <v>540905</v>
      </c>
      <c r="M53" s="329">
        <f t="shared" ref="M53" si="29">M54</f>
        <v>60000</v>
      </c>
      <c r="N53" s="329">
        <f>N54</f>
        <v>4000</v>
      </c>
      <c r="O53" s="329">
        <f>O54</f>
        <v>25134215.48</v>
      </c>
      <c r="P53" s="329">
        <f>P54</f>
        <v>732421243.48000002</v>
      </c>
    </row>
    <row r="54" spans="1:20" ht="225" x14ac:dyDescent="0.2">
      <c r="A54" s="324" t="s">
        <v>237</v>
      </c>
      <c r="B54" s="324"/>
      <c r="C54" s="324"/>
      <c r="D54" s="325" t="s">
        <v>61</v>
      </c>
      <c r="E54" s="326">
        <f>SUM(E55:E110)</f>
        <v>706746123</v>
      </c>
      <c r="F54" s="326">
        <f>SUM(F55:F110)</f>
        <v>706746123</v>
      </c>
      <c r="G54" s="326">
        <f>SUM(G55:G110)</f>
        <v>45497797</v>
      </c>
      <c r="H54" s="326">
        <f>SUM(H55:H110)</f>
        <v>1804796</v>
      </c>
      <c r="I54" s="326">
        <f>SUM(I55:I110)</f>
        <v>0</v>
      </c>
      <c r="J54" s="326">
        <f t="shared" ref="J54:J101" si="30">L54+O54</f>
        <v>25675120.48</v>
      </c>
      <c r="K54" s="326">
        <f>SUM(K55:K110)</f>
        <v>25134215.48</v>
      </c>
      <c r="L54" s="326">
        <f>SUM(L55:L110)</f>
        <v>540905</v>
      </c>
      <c r="M54" s="326">
        <f>SUM(M55:M110)</f>
        <v>60000</v>
      </c>
      <c r="N54" s="326">
        <f>SUM(N55:N110)</f>
        <v>4000</v>
      </c>
      <c r="O54" s="326">
        <f>SUM(O55:O110)</f>
        <v>25134215.48</v>
      </c>
      <c r="P54" s="326">
        <f t="shared" ref="P54:P84" si="31">E54+J54</f>
        <v>732421243.48000002</v>
      </c>
      <c r="Q54" s="146" t="b">
        <f>P54=P56+P57+P58+P59+P60+P61+P62+P63+P64+P65+P66+P67+P68+P69+P70+P71+P73+P74+P75+P76+P77+P78+P82+P83+P84+P85+P86+P87+P88+P89+P101+P104+P105+P106+P90+P108+P55+P109+P79+P72+P81+P91+P98+P107+P94</f>
        <v>1</v>
      </c>
      <c r="R54" s="358" t="b">
        <f>K54='d5'!I48</f>
        <v>0</v>
      </c>
      <c r="T54" s="146"/>
    </row>
    <row r="55" spans="1:20" ht="228.75" x14ac:dyDescent="0.2">
      <c r="A55" s="360" t="s">
        <v>704</v>
      </c>
      <c r="B55" s="360" t="s">
        <v>335</v>
      </c>
      <c r="C55" s="360" t="s">
        <v>333</v>
      </c>
      <c r="D55" s="360" t="s">
        <v>334</v>
      </c>
      <c r="E55" s="356">
        <f t="shared" ref="E55:E59" si="32">F55</f>
        <v>36209100</v>
      </c>
      <c r="F55" s="311">
        <f>((35993100)+100000+100000+65000)+15000+25000+25000-66600+1600-49000</f>
        <v>36209100</v>
      </c>
      <c r="G55" s="311">
        <v>26800000</v>
      </c>
      <c r="H55" s="311">
        <f>(1006600)-66600+1600-49000</f>
        <v>892600</v>
      </c>
      <c r="I55" s="311"/>
      <c r="J55" s="359">
        <f t="shared" si="30"/>
        <v>499000</v>
      </c>
      <c r="K55" s="311">
        <f>(450000)+49000</f>
        <v>499000</v>
      </c>
      <c r="L55" s="311"/>
      <c r="M55" s="311"/>
      <c r="N55" s="311"/>
      <c r="O55" s="266">
        <f>K55</f>
        <v>499000</v>
      </c>
      <c r="P55" s="356">
        <f t="shared" si="31"/>
        <v>36708100</v>
      </c>
      <c r="Q55" s="146"/>
      <c r="R55" s="358" t="b">
        <f>K55='d5'!I49</f>
        <v>1</v>
      </c>
      <c r="T55" s="146"/>
    </row>
    <row r="56" spans="1:20" ht="183" x14ac:dyDescent="0.2">
      <c r="A56" s="355" t="s">
        <v>350</v>
      </c>
      <c r="B56" s="355" t="s">
        <v>351</v>
      </c>
      <c r="C56" s="355" t="s">
        <v>296</v>
      </c>
      <c r="D56" s="361" t="s">
        <v>349</v>
      </c>
      <c r="E56" s="356">
        <f t="shared" si="32"/>
        <v>81315555.920000002</v>
      </c>
      <c r="F56" s="357">
        <f>((70418585.58)+4499970.34)+6200000+197000</f>
        <v>81315555.920000002</v>
      </c>
      <c r="G56" s="357"/>
      <c r="H56" s="357"/>
      <c r="I56" s="357"/>
      <c r="J56" s="359">
        <f t="shared" si="30"/>
        <v>0</v>
      </c>
      <c r="K56" s="357"/>
      <c r="L56" s="357"/>
      <c r="M56" s="357"/>
      <c r="N56" s="357"/>
      <c r="O56" s="266">
        <f t="shared" ref="O56:O101" si="33">K56</f>
        <v>0</v>
      </c>
      <c r="P56" s="356">
        <f t="shared" si="31"/>
        <v>81315555.920000002</v>
      </c>
      <c r="R56" s="358"/>
    </row>
    <row r="57" spans="1:20" ht="183" x14ac:dyDescent="0.2">
      <c r="A57" s="271" t="s">
        <v>369</v>
      </c>
      <c r="B57" s="355" t="s">
        <v>370</v>
      </c>
      <c r="C57" s="355" t="s">
        <v>79</v>
      </c>
      <c r="D57" s="360" t="s">
        <v>8</v>
      </c>
      <c r="E57" s="256">
        <f t="shared" si="32"/>
        <v>73735644.079999998</v>
      </c>
      <c r="F57" s="311">
        <v>73735644.079999998</v>
      </c>
      <c r="G57" s="311"/>
      <c r="H57" s="311"/>
      <c r="I57" s="311"/>
      <c r="J57" s="359">
        <f t="shared" si="30"/>
        <v>0</v>
      </c>
      <c r="K57" s="357"/>
      <c r="L57" s="311"/>
      <c r="M57" s="311"/>
      <c r="N57" s="311"/>
      <c r="O57" s="266">
        <f t="shared" si="33"/>
        <v>0</v>
      </c>
      <c r="P57" s="359">
        <f t="shared" si="31"/>
        <v>73735644.079999998</v>
      </c>
      <c r="R57" s="358"/>
    </row>
    <row r="58" spans="1:20" ht="274.5" x14ac:dyDescent="0.2">
      <c r="A58" s="360" t="s">
        <v>372</v>
      </c>
      <c r="B58" s="360" t="s">
        <v>373</v>
      </c>
      <c r="C58" s="360" t="s">
        <v>296</v>
      </c>
      <c r="D58" s="250" t="s">
        <v>371</v>
      </c>
      <c r="E58" s="356">
        <f t="shared" si="32"/>
        <v>3000</v>
      </c>
      <c r="F58" s="357">
        <v>3000</v>
      </c>
      <c r="G58" s="357"/>
      <c r="H58" s="357"/>
      <c r="I58" s="357"/>
      <c r="J58" s="359">
        <f t="shared" si="30"/>
        <v>0</v>
      </c>
      <c r="K58" s="357"/>
      <c r="L58" s="357"/>
      <c r="M58" s="357"/>
      <c r="N58" s="357"/>
      <c r="O58" s="266">
        <f t="shared" si="33"/>
        <v>0</v>
      </c>
      <c r="P58" s="356">
        <f t="shared" si="31"/>
        <v>3000</v>
      </c>
      <c r="R58" s="358"/>
    </row>
    <row r="59" spans="1:20" ht="228.75" x14ac:dyDescent="0.2">
      <c r="A59" s="360" t="s">
        <v>374</v>
      </c>
      <c r="B59" s="360" t="s">
        <v>375</v>
      </c>
      <c r="C59" s="250">
        <v>1060</v>
      </c>
      <c r="D59" s="272" t="s">
        <v>19</v>
      </c>
      <c r="E59" s="359">
        <f t="shared" si="32"/>
        <v>46300</v>
      </c>
      <c r="F59" s="311">
        <f>44700+1600</f>
        <v>46300</v>
      </c>
      <c r="G59" s="311"/>
      <c r="H59" s="311"/>
      <c r="I59" s="311"/>
      <c r="J59" s="359">
        <f t="shared" si="30"/>
        <v>0</v>
      </c>
      <c r="K59" s="311"/>
      <c r="L59" s="311"/>
      <c r="M59" s="311"/>
      <c r="N59" s="311"/>
      <c r="O59" s="266">
        <f t="shared" si="33"/>
        <v>0</v>
      </c>
      <c r="P59" s="359">
        <f t="shared" si="31"/>
        <v>46300</v>
      </c>
      <c r="R59" s="358"/>
    </row>
    <row r="60" spans="1:20" s="118" customFormat="1" ht="137.25" x14ac:dyDescent="0.2">
      <c r="A60" s="355" t="s">
        <v>400</v>
      </c>
      <c r="B60" s="355" t="s">
        <v>401</v>
      </c>
      <c r="C60" s="355" t="s">
        <v>296</v>
      </c>
      <c r="D60" s="361" t="s">
        <v>402</v>
      </c>
      <c r="E60" s="356">
        <f>F60</f>
        <v>512970</v>
      </c>
      <c r="F60" s="357">
        <f>(322970)+190000</f>
        <v>512970</v>
      </c>
      <c r="G60" s="357"/>
      <c r="H60" s="357"/>
      <c r="I60" s="357"/>
      <c r="J60" s="359">
        <f t="shared" si="30"/>
        <v>100000</v>
      </c>
      <c r="K60" s="357">
        <v>100000</v>
      </c>
      <c r="L60" s="357"/>
      <c r="M60" s="357"/>
      <c r="N60" s="357"/>
      <c r="O60" s="266">
        <f t="shared" si="33"/>
        <v>100000</v>
      </c>
      <c r="P60" s="356">
        <f t="shared" si="31"/>
        <v>612970</v>
      </c>
      <c r="R60" s="358" t="b">
        <f>K60='d5'!I50</f>
        <v>1</v>
      </c>
    </row>
    <row r="61" spans="1:20" s="118" customFormat="1" ht="137.25" x14ac:dyDescent="0.2">
      <c r="A61" s="360" t="s">
        <v>403</v>
      </c>
      <c r="B61" s="360" t="s">
        <v>404</v>
      </c>
      <c r="C61" s="360" t="s">
        <v>297</v>
      </c>
      <c r="D61" s="360" t="s">
        <v>16</v>
      </c>
      <c r="E61" s="359">
        <f t="shared" ref="E61:E109" si="34">F61</f>
        <v>1410000</v>
      </c>
      <c r="F61" s="311">
        <f>(1360000)+50000</f>
        <v>1410000</v>
      </c>
      <c r="G61" s="311"/>
      <c r="H61" s="311"/>
      <c r="I61" s="311"/>
      <c r="J61" s="359">
        <f t="shared" si="30"/>
        <v>0</v>
      </c>
      <c r="K61" s="311"/>
      <c r="L61" s="311"/>
      <c r="M61" s="311"/>
      <c r="N61" s="311"/>
      <c r="O61" s="266">
        <f t="shared" si="33"/>
        <v>0</v>
      </c>
      <c r="P61" s="359">
        <f t="shared" si="31"/>
        <v>1410000</v>
      </c>
      <c r="R61" s="358"/>
    </row>
    <row r="62" spans="1:20" s="118" customFormat="1" ht="183" x14ac:dyDescent="0.2">
      <c r="A62" s="360" t="s">
        <v>406</v>
      </c>
      <c r="B62" s="360" t="s">
        <v>407</v>
      </c>
      <c r="C62" s="360" t="s">
        <v>297</v>
      </c>
      <c r="D62" s="355" t="s">
        <v>17</v>
      </c>
      <c r="E62" s="359">
        <f t="shared" si="34"/>
        <v>8000000</v>
      </c>
      <c r="F62" s="311">
        <v>8000000</v>
      </c>
      <c r="G62" s="311"/>
      <c r="H62" s="311"/>
      <c r="I62" s="311"/>
      <c r="J62" s="359">
        <f t="shared" si="30"/>
        <v>0</v>
      </c>
      <c r="K62" s="311"/>
      <c r="L62" s="311"/>
      <c r="M62" s="311"/>
      <c r="N62" s="311"/>
      <c r="O62" s="266">
        <f t="shared" si="33"/>
        <v>0</v>
      </c>
      <c r="P62" s="359">
        <f t="shared" si="31"/>
        <v>8000000</v>
      </c>
      <c r="R62" s="358"/>
    </row>
    <row r="63" spans="1:20" s="118" customFormat="1" ht="183" x14ac:dyDescent="0.2">
      <c r="A63" s="355" t="s">
        <v>408</v>
      </c>
      <c r="B63" s="355" t="s">
        <v>405</v>
      </c>
      <c r="C63" s="355" t="s">
        <v>297</v>
      </c>
      <c r="D63" s="355" t="s">
        <v>18</v>
      </c>
      <c r="E63" s="359">
        <f t="shared" si="34"/>
        <v>600000</v>
      </c>
      <c r="F63" s="311">
        <v>600000</v>
      </c>
      <c r="G63" s="311"/>
      <c r="H63" s="311"/>
      <c r="I63" s="311"/>
      <c r="J63" s="359">
        <f t="shared" si="30"/>
        <v>0</v>
      </c>
      <c r="K63" s="311"/>
      <c r="L63" s="311"/>
      <c r="M63" s="311"/>
      <c r="N63" s="311"/>
      <c r="O63" s="266">
        <f t="shared" si="33"/>
        <v>0</v>
      </c>
      <c r="P63" s="359">
        <f t="shared" si="31"/>
        <v>600000</v>
      </c>
      <c r="R63" s="358"/>
    </row>
    <row r="64" spans="1:20" s="118" customFormat="1" ht="183" x14ac:dyDescent="0.2">
      <c r="A64" s="355" t="s">
        <v>409</v>
      </c>
      <c r="B64" s="355" t="s">
        <v>410</v>
      </c>
      <c r="C64" s="355" t="s">
        <v>297</v>
      </c>
      <c r="D64" s="355" t="s">
        <v>21</v>
      </c>
      <c r="E64" s="359">
        <f t="shared" si="34"/>
        <v>89000000</v>
      </c>
      <c r="F64" s="311">
        <f>(82000000)+7000000</f>
        <v>89000000</v>
      </c>
      <c r="G64" s="311"/>
      <c r="H64" s="311"/>
      <c r="I64" s="311"/>
      <c r="J64" s="359">
        <f t="shared" si="30"/>
        <v>0</v>
      </c>
      <c r="K64" s="311"/>
      <c r="L64" s="311"/>
      <c r="M64" s="311"/>
      <c r="N64" s="311"/>
      <c r="O64" s="266">
        <f t="shared" si="33"/>
        <v>0</v>
      </c>
      <c r="P64" s="359">
        <f t="shared" si="31"/>
        <v>89000000</v>
      </c>
      <c r="R64" s="358"/>
    </row>
    <row r="65" spans="1:20" s="118" customFormat="1" ht="91.5" x14ac:dyDescent="0.2">
      <c r="A65" s="360" t="s">
        <v>360</v>
      </c>
      <c r="B65" s="360" t="s">
        <v>352</v>
      </c>
      <c r="C65" s="360" t="s">
        <v>273</v>
      </c>
      <c r="D65" s="360" t="s">
        <v>10</v>
      </c>
      <c r="E65" s="359">
        <f t="shared" si="34"/>
        <v>2814000</v>
      </c>
      <c r="F65" s="311">
        <v>2814000</v>
      </c>
      <c r="G65" s="311"/>
      <c r="H65" s="311"/>
      <c r="I65" s="311"/>
      <c r="J65" s="359">
        <f t="shared" si="30"/>
        <v>0</v>
      </c>
      <c r="K65" s="311"/>
      <c r="L65" s="311"/>
      <c r="M65" s="311"/>
      <c r="N65" s="311"/>
      <c r="O65" s="266">
        <f t="shared" si="33"/>
        <v>0</v>
      </c>
      <c r="P65" s="359">
        <f t="shared" si="31"/>
        <v>2814000</v>
      </c>
      <c r="R65" s="358"/>
    </row>
    <row r="66" spans="1:20" s="118" customFormat="1" ht="91.5" x14ac:dyDescent="0.2">
      <c r="A66" s="360" t="s">
        <v>361</v>
      </c>
      <c r="B66" s="360" t="s">
        <v>353</v>
      </c>
      <c r="C66" s="360" t="s">
        <v>273</v>
      </c>
      <c r="D66" s="360" t="s">
        <v>359</v>
      </c>
      <c r="E66" s="359">
        <f>F66</f>
        <v>571520</v>
      </c>
      <c r="F66" s="311">
        <f>(371520)+200000</f>
        <v>571520</v>
      </c>
      <c r="G66" s="311"/>
      <c r="H66" s="311"/>
      <c r="I66" s="311"/>
      <c r="J66" s="359">
        <f t="shared" si="30"/>
        <v>0</v>
      </c>
      <c r="K66" s="311"/>
      <c r="L66" s="311"/>
      <c r="M66" s="311"/>
      <c r="N66" s="311"/>
      <c r="O66" s="266">
        <f t="shared" si="33"/>
        <v>0</v>
      </c>
      <c r="P66" s="359">
        <f t="shared" si="31"/>
        <v>571520</v>
      </c>
      <c r="R66" s="358"/>
    </row>
    <row r="67" spans="1:20" s="118" customFormat="1" ht="91.5" x14ac:dyDescent="0.2">
      <c r="A67" s="360" t="s">
        <v>362</v>
      </c>
      <c r="B67" s="360" t="s">
        <v>354</v>
      </c>
      <c r="C67" s="360" t="s">
        <v>273</v>
      </c>
      <c r="D67" s="360" t="s">
        <v>11</v>
      </c>
      <c r="E67" s="359">
        <f t="shared" si="34"/>
        <v>135281196</v>
      </c>
      <c r="F67" s="311">
        <f>(157736000-225000-21813780)-416024</f>
        <v>135281196</v>
      </c>
      <c r="G67" s="311"/>
      <c r="H67" s="311"/>
      <c r="I67" s="311"/>
      <c r="J67" s="359">
        <f t="shared" si="30"/>
        <v>0</v>
      </c>
      <c r="K67" s="311"/>
      <c r="L67" s="311"/>
      <c r="M67" s="311"/>
      <c r="N67" s="311"/>
      <c r="O67" s="266">
        <f t="shared" si="33"/>
        <v>0</v>
      </c>
      <c r="P67" s="359">
        <f t="shared" si="31"/>
        <v>135281196</v>
      </c>
      <c r="R67" s="358"/>
    </row>
    <row r="68" spans="1:20" s="118" customFormat="1" ht="137.25" x14ac:dyDescent="0.2">
      <c r="A68" s="360" t="s">
        <v>363</v>
      </c>
      <c r="B68" s="360" t="s">
        <v>355</v>
      </c>
      <c r="C68" s="360" t="s">
        <v>273</v>
      </c>
      <c r="D68" s="360" t="s">
        <v>12</v>
      </c>
      <c r="E68" s="359">
        <f t="shared" si="34"/>
        <v>4266000</v>
      </c>
      <c r="F68" s="311">
        <v>4266000</v>
      </c>
      <c r="G68" s="311"/>
      <c r="H68" s="311"/>
      <c r="I68" s="311"/>
      <c r="J68" s="359">
        <f t="shared" si="30"/>
        <v>0</v>
      </c>
      <c r="K68" s="311"/>
      <c r="L68" s="311"/>
      <c r="M68" s="311"/>
      <c r="N68" s="311"/>
      <c r="O68" s="266">
        <f t="shared" si="33"/>
        <v>0</v>
      </c>
      <c r="P68" s="359">
        <f t="shared" si="31"/>
        <v>4266000</v>
      </c>
      <c r="R68" s="358"/>
    </row>
    <row r="69" spans="1:20" s="118" customFormat="1" ht="91.5" x14ac:dyDescent="0.2">
      <c r="A69" s="360" t="s">
        <v>364</v>
      </c>
      <c r="B69" s="360" t="s">
        <v>356</v>
      </c>
      <c r="C69" s="360" t="s">
        <v>273</v>
      </c>
      <c r="D69" s="360" t="s">
        <v>13</v>
      </c>
      <c r="E69" s="359">
        <f t="shared" si="34"/>
        <v>27062400</v>
      </c>
      <c r="F69" s="311">
        <v>27062400</v>
      </c>
      <c r="G69" s="311"/>
      <c r="H69" s="311"/>
      <c r="I69" s="311"/>
      <c r="J69" s="359">
        <f t="shared" si="30"/>
        <v>0</v>
      </c>
      <c r="K69" s="311"/>
      <c r="L69" s="311"/>
      <c r="M69" s="311"/>
      <c r="N69" s="311"/>
      <c r="O69" s="266">
        <f t="shared" si="33"/>
        <v>0</v>
      </c>
      <c r="P69" s="359">
        <f t="shared" si="31"/>
        <v>27062400</v>
      </c>
      <c r="R69" s="358"/>
    </row>
    <row r="70" spans="1:20" s="118" customFormat="1" ht="91.5" x14ac:dyDescent="0.2">
      <c r="A70" s="360" t="s">
        <v>365</v>
      </c>
      <c r="B70" s="360" t="s">
        <v>357</v>
      </c>
      <c r="C70" s="360" t="s">
        <v>273</v>
      </c>
      <c r="D70" s="360" t="s">
        <v>14</v>
      </c>
      <c r="E70" s="359">
        <f t="shared" si="34"/>
        <v>2700000</v>
      </c>
      <c r="F70" s="311">
        <v>2700000</v>
      </c>
      <c r="G70" s="311"/>
      <c r="H70" s="311"/>
      <c r="I70" s="311"/>
      <c r="J70" s="359">
        <f t="shared" si="30"/>
        <v>0</v>
      </c>
      <c r="K70" s="311"/>
      <c r="L70" s="311"/>
      <c r="M70" s="311"/>
      <c r="N70" s="311"/>
      <c r="O70" s="266">
        <f t="shared" si="33"/>
        <v>0</v>
      </c>
      <c r="P70" s="359">
        <f t="shared" si="31"/>
        <v>2700000</v>
      </c>
      <c r="R70" s="358"/>
    </row>
    <row r="71" spans="1:20" s="118" customFormat="1" ht="137.25" x14ac:dyDescent="0.2">
      <c r="A71" s="360" t="s">
        <v>366</v>
      </c>
      <c r="B71" s="360" t="s">
        <v>358</v>
      </c>
      <c r="C71" s="360" t="s">
        <v>273</v>
      </c>
      <c r="D71" s="360" t="s">
        <v>15</v>
      </c>
      <c r="E71" s="359">
        <f t="shared" si="34"/>
        <v>39337958</v>
      </c>
      <c r="F71" s="311">
        <v>39337958</v>
      </c>
      <c r="G71" s="311"/>
      <c r="H71" s="311"/>
      <c r="I71" s="311"/>
      <c r="J71" s="359">
        <f t="shared" si="30"/>
        <v>0</v>
      </c>
      <c r="K71" s="311"/>
      <c r="L71" s="311"/>
      <c r="M71" s="311"/>
      <c r="N71" s="311"/>
      <c r="O71" s="266">
        <f t="shared" si="33"/>
        <v>0</v>
      </c>
      <c r="P71" s="359">
        <f t="shared" si="31"/>
        <v>39337958</v>
      </c>
      <c r="R71" s="358"/>
    </row>
    <row r="72" spans="1:20" s="118" customFormat="1" ht="137.25" x14ac:dyDescent="0.2">
      <c r="A72" s="360" t="s">
        <v>883</v>
      </c>
      <c r="B72" s="360" t="s">
        <v>885</v>
      </c>
      <c r="C72" s="360" t="s">
        <v>273</v>
      </c>
      <c r="D72" s="360" t="s">
        <v>884</v>
      </c>
      <c r="E72" s="359">
        <f t="shared" si="34"/>
        <v>963000</v>
      </c>
      <c r="F72" s="311">
        <f>(572760)+390240</f>
        <v>963000</v>
      </c>
      <c r="G72" s="311"/>
      <c r="H72" s="311"/>
      <c r="I72" s="311"/>
      <c r="J72" s="359">
        <f t="shared" si="30"/>
        <v>0</v>
      </c>
      <c r="K72" s="311"/>
      <c r="L72" s="311"/>
      <c r="M72" s="311"/>
      <c r="N72" s="311"/>
      <c r="O72" s="266">
        <f t="shared" si="33"/>
        <v>0</v>
      </c>
      <c r="P72" s="359">
        <f t="shared" si="31"/>
        <v>963000</v>
      </c>
      <c r="R72" s="358"/>
    </row>
    <row r="73" spans="1:20" ht="183" x14ac:dyDescent="0.2">
      <c r="A73" s="360" t="s">
        <v>376</v>
      </c>
      <c r="B73" s="360" t="s">
        <v>367</v>
      </c>
      <c r="C73" s="360" t="s">
        <v>297</v>
      </c>
      <c r="D73" s="360" t="s">
        <v>9</v>
      </c>
      <c r="E73" s="359">
        <f t="shared" si="34"/>
        <v>179080</v>
      </c>
      <c r="F73" s="311">
        <v>179080</v>
      </c>
      <c r="G73" s="311"/>
      <c r="H73" s="311"/>
      <c r="I73" s="311"/>
      <c r="J73" s="359">
        <f t="shared" si="30"/>
        <v>0</v>
      </c>
      <c r="K73" s="359"/>
      <c r="L73" s="311"/>
      <c r="M73" s="311"/>
      <c r="N73" s="311"/>
      <c r="O73" s="266">
        <f t="shared" si="33"/>
        <v>0</v>
      </c>
      <c r="P73" s="359">
        <f t="shared" si="31"/>
        <v>179080</v>
      </c>
      <c r="R73" s="358"/>
    </row>
    <row r="74" spans="1:20" s="118" customFormat="1" ht="183" x14ac:dyDescent="0.2">
      <c r="A74" s="360" t="s">
        <v>543</v>
      </c>
      <c r="B74" s="360" t="s">
        <v>544</v>
      </c>
      <c r="C74" s="360" t="s">
        <v>289</v>
      </c>
      <c r="D74" s="360" t="s">
        <v>542</v>
      </c>
      <c r="E74" s="359">
        <f t="shared" si="34"/>
        <v>78472603.400000006</v>
      </c>
      <c r="F74" s="311">
        <v>78472603.400000006</v>
      </c>
      <c r="G74" s="311"/>
      <c r="H74" s="311"/>
      <c r="I74" s="311"/>
      <c r="J74" s="359">
        <f t="shared" si="30"/>
        <v>0</v>
      </c>
      <c r="K74" s="311"/>
      <c r="L74" s="311"/>
      <c r="M74" s="311"/>
      <c r="N74" s="311"/>
      <c r="O74" s="266">
        <f t="shared" si="33"/>
        <v>0</v>
      </c>
      <c r="P74" s="359">
        <f t="shared" si="31"/>
        <v>78472603.400000006</v>
      </c>
      <c r="R74" s="358"/>
    </row>
    <row r="75" spans="1:20" s="118" customFormat="1" ht="228.75" x14ac:dyDescent="0.2">
      <c r="A75" s="360" t="s">
        <v>600</v>
      </c>
      <c r="B75" s="360" t="s">
        <v>601</v>
      </c>
      <c r="C75" s="360" t="s">
        <v>289</v>
      </c>
      <c r="D75" s="360" t="s">
        <v>602</v>
      </c>
      <c r="E75" s="359">
        <f t="shared" si="34"/>
        <v>25694626.600000001</v>
      </c>
      <c r="F75" s="311">
        <v>25694626.600000001</v>
      </c>
      <c r="G75" s="311"/>
      <c r="H75" s="311"/>
      <c r="I75" s="311"/>
      <c r="J75" s="359">
        <f t="shared" si="30"/>
        <v>0</v>
      </c>
      <c r="K75" s="311"/>
      <c r="L75" s="311"/>
      <c r="M75" s="311"/>
      <c r="N75" s="311"/>
      <c r="O75" s="266">
        <f t="shared" si="33"/>
        <v>0</v>
      </c>
      <c r="P75" s="359">
        <f t="shared" si="31"/>
        <v>25694626.600000001</v>
      </c>
      <c r="R75" s="358"/>
    </row>
    <row r="76" spans="1:20" s="118" customFormat="1" ht="183" x14ac:dyDescent="0.2">
      <c r="A76" s="360" t="s">
        <v>540</v>
      </c>
      <c r="B76" s="360" t="s">
        <v>541</v>
      </c>
      <c r="C76" s="360" t="s">
        <v>289</v>
      </c>
      <c r="D76" s="360" t="s">
        <v>499</v>
      </c>
      <c r="E76" s="359">
        <f t="shared" si="34"/>
        <v>13918200</v>
      </c>
      <c r="F76" s="311">
        <f>(14110200)-192000</f>
        <v>13918200</v>
      </c>
      <c r="G76" s="311"/>
      <c r="H76" s="311"/>
      <c r="I76" s="311"/>
      <c r="J76" s="359">
        <f t="shared" si="30"/>
        <v>0</v>
      </c>
      <c r="K76" s="311"/>
      <c r="L76" s="311"/>
      <c r="M76" s="311"/>
      <c r="N76" s="311"/>
      <c r="O76" s="266">
        <f t="shared" si="33"/>
        <v>0</v>
      </c>
      <c r="P76" s="359">
        <f t="shared" si="31"/>
        <v>13918200</v>
      </c>
      <c r="R76" s="358"/>
    </row>
    <row r="77" spans="1:20" s="118" customFormat="1" ht="274.5" x14ac:dyDescent="0.2">
      <c r="A77" s="360" t="s">
        <v>547</v>
      </c>
      <c r="B77" s="360" t="s">
        <v>548</v>
      </c>
      <c r="C77" s="360" t="s">
        <v>273</v>
      </c>
      <c r="D77" s="360" t="s">
        <v>549</v>
      </c>
      <c r="E77" s="359">
        <f t="shared" si="34"/>
        <v>1616024</v>
      </c>
      <c r="F77" s="311">
        <f>(1200000)+416024</f>
        <v>1616024</v>
      </c>
      <c r="G77" s="311"/>
      <c r="H77" s="311"/>
      <c r="I77" s="311"/>
      <c r="J77" s="359">
        <f t="shared" si="30"/>
        <v>0</v>
      </c>
      <c r="K77" s="311"/>
      <c r="L77" s="311"/>
      <c r="M77" s="311"/>
      <c r="N77" s="311"/>
      <c r="O77" s="266">
        <f t="shared" si="33"/>
        <v>0</v>
      </c>
      <c r="P77" s="359">
        <f t="shared" si="31"/>
        <v>1616024</v>
      </c>
      <c r="R77" s="358"/>
    </row>
    <row r="78" spans="1:20" s="118" customFormat="1" ht="320.25" x14ac:dyDescent="0.2">
      <c r="A78" s="360" t="s">
        <v>545</v>
      </c>
      <c r="B78" s="360" t="s">
        <v>546</v>
      </c>
      <c r="C78" s="360" t="s">
        <v>289</v>
      </c>
      <c r="D78" s="360" t="s">
        <v>550</v>
      </c>
      <c r="E78" s="359">
        <f t="shared" si="34"/>
        <v>289523.23</v>
      </c>
      <c r="F78" s="311">
        <f>(264192)+25331.23</f>
        <v>289523.23</v>
      </c>
      <c r="G78" s="311"/>
      <c r="H78" s="311"/>
      <c r="I78" s="311"/>
      <c r="J78" s="359">
        <f t="shared" si="30"/>
        <v>0</v>
      </c>
      <c r="K78" s="311"/>
      <c r="L78" s="311"/>
      <c r="M78" s="311"/>
      <c r="N78" s="311"/>
      <c r="O78" s="266">
        <f t="shared" si="33"/>
        <v>0</v>
      </c>
      <c r="P78" s="359">
        <f t="shared" si="31"/>
        <v>289523.23</v>
      </c>
      <c r="R78" s="358"/>
    </row>
    <row r="79" spans="1:20" s="118" customFormat="1" ht="364.7" customHeight="1" x14ac:dyDescent="0.65">
      <c r="A79" s="476" t="s">
        <v>870</v>
      </c>
      <c r="B79" s="476" t="s">
        <v>871</v>
      </c>
      <c r="C79" s="476" t="s">
        <v>273</v>
      </c>
      <c r="D79" s="273" t="s">
        <v>872</v>
      </c>
      <c r="E79" s="488">
        <f t="shared" si="34"/>
        <v>249988</v>
      </c>
      <c r="F79" s="491">
        <v>249988</v>
      </c>
      <c r="G79" s="491"/>
      <c r="H79" s="491"/>
      <c r="I79" s="491"/>
      <c r="J79" s="488">
        <f t="shared" si="30"/>
        <v>0</v>
      </c>
      <c r="K79" s="491"/>
      <c r="L79" s="491"/>
      <c r="M79" s="491"/>
      <c r="N79" s="491"/>
      <c r="O79" s="491">
        <f t="shared" si="33"/>
        <v>0</v>
      </c>
      <c r="P79" s="488">
        <f t="shared" si="31"/>
        <v>249988</v>
      </c>
      <c r="Q79" s="240">
        <f>E79</f>
        <v>249988</v>
      </c>
      <c r="R79" s="240">
        <f>J79</f>
        <v>0</v>
      </c>
      <c r="T79" s="240">
        <f>K79</f>
        <v>0</v>
      </c>
    </row>
    <row r="80" spans="1:20" s="118" customFormat="1" ht="334.5" customHeight="1" x14ac:dyDescent="0.2">
      <c r="A80" s="477"/>
      <c r="B80" s="477"/>
      <c r="C80" s="477"/>
      <c r="D80" s="274" t="s">
        <v>873</v>
      </c>
      <c r="E80" s="477"/>
      <c r="F80" s="477"/>
      <c r="G80" s="477"/>
      <c r="H80" s="477"/>
      <c r="I80" s="477"/>
      <c r="J80" s="498"/>
      <c r="K80" s="477"/>
      <c r="L80" s="477"/>
      <c r="M80" s="477"/>
      <c r="N80" s="477"/>
      <c r="O80" s="477"/>
      <c r="P80" s="498"/>
      <c r="R80" s="358"/>
    </row>
    <row r="81" spans="1:18" s="118" customFormat="1" ht="137.25" x14ac:dyDescent="0.2">
      <c r="A81" s="360" t="s">
        <v>904</v>
      </c>
      <c r="B81" s="360" t="s">
        <v>905</v>
      </c>
      <c r="C81" s="360" t="s">
        <v>273</v>
      </c>
      <c r="D81" s="360" t="s">
        <v>906</v>
      </c>
      <c r="E81" s="359">
        <f t="shared" ref="E81" si="35">F81</f>
        <v>20792460.77</v>
      </c>
      <c r="F81" s="311">
        <f>(21208032)-415571.23</f>
        <v>20792460.77</v>
      </c>
      <c r="G81" s="311"/>
      <c r="H81" s="311"/>
      <c r="I81" s="311"/>
      <c r="J81" s="359">
        <f t="shared" ref="J81" si="36">L81+O81</f>
        <v>0</v>
      </c>
      <c r="K81" s="359"/>
      <c r="L81" s="311"/>
      <c r="M81" s="311"/>
      <c r="N81" s="311"/>
      <c r="O81" s="266">
        <f t="shared" ref="O81" si="37">K81</f>
        <v>0</v>
      </c>
      <c r="P81" s="359">
        <f t="shared" ref="P81" si="38">E81+J81</f>
        <v>20792460.77</v>
      </c>
      <c r="R81" s="358"/>
    </row>
    <row r="82" spans="1:18" ht="163.5" customHeight="1" x14ac:dyDescent="0.2">
      <c r="A82" s="360" t="s">
        <v>377</v>
      </c>
      <c r="B82" s="360" t="s">
        <v>368</v>
      </c>
      <c r="C82" s="360" t="s">
        <v>296</v>
      </c>
      <c r="D82" s="360" t="s">
        <v>500</v>
      </c>
      <c r="E82" s="359">
        <f t="shared" si="34"/>
        <v>152280</v>
      </c>
      <c r="F82" s="311">
        <f>(117846)+34434</f>
        <v>152280</v>
      </c>
      <c r="G82" s="311"/>
      <c r="H82" s="311"/>
      <c r="I82" s="311"/>
      <c r="J82" s="359">
        <f t="shared" si="30"/>
        <v>0</v>
      </c>
      <c r="K82" s="359"/>
      <c r="L82" s="311"/>
      <c r="M82" s="311"/>
      <c r="N82" s="311"/>
      <c r="O82" s="266">
        <f t="shared" si="33"/>
        <v>0</v>
      </c>
      <c r="P82" s="359">
        <f t="shared" si="31"/>
        <v>152280</v>
      </c>
      <c r="R82" s="358"/>
    </row>
    <row r="83" spans="1:18" ht="301.7" customHeight="1" x14ac:dyDescent="0.2">
      <c r="A83" s="360" t="s">
        <v>398</v>
      </c>
      <c r="B83" s="360" t="s">
        <v>396</v>
      </c>
      <c r="C83" s="360" t="s">
        <v>290</v>
      </c>
      <c r="D83" s="360" t="s">
        <v>35</v>
      </c>
      <c r="E83" s="359">
        <f t="shared" si="34"/>
        <v>17985684</v>
      </c>
      <c r="F83" s="311">
        <f>(17332984)+652700</f>
        <v>17985684</v>
      </c>
      <c r="G83" s="311">
        <f>(11859350)+389900</f>
        <v>12249250</v>
      </c>
      <c r="H83" s="311">
        <v>246362</v>
      </c>
      <c r="I83" s="311"/>
      <c r="J83" s="359">
        <f t="shared" si="30"/>
        <v>311900</v>
      </c>
      <c r="K83" s="311">
        <f>((175000)+30000)-82860+80360</f>
        <v>202500</v>
      </c>
      <c r="L83" s="311">
        <v>109400</v>
      </c>
      <c r="M83" s="311">
        <v>60000</v>
      </c>
      <c r="N83" s="311">
        <v>4000</v>
      </c>
      <c r="O83" s="266">
        <f t="shared" si="33"/>
        <v>202500</v>
      </c>
      <c r="P83" s="359">
        <f t="shared" si="31"/>
        <v>18297584</v>
      </c>
      <c r="R83" s="358" t="b">
        <f>K83='d5'!I51</f>
        <v>1</v>
      </c>
    </row>
    <row r="84" spans="1:18" ht="137.25" x14ac:dyDescent="0.2">
      <c r="A84" s="360" t="s">
        <v>399</v>
      </c>
      <c r="B84" s="360" t="s">
        <v>397</v>
      </c>
      <c r="C84" s="360" t="s">
        <v>289</v>
      </c>
      <c r="D84" s="360" t="s">
        <v>501</v>
      </c>
      <c r="E84" s="359">
        <f t="shared" si="34"/>
        <v>5357323</v>
      </c>
      <c r="F84" s="311">
        <f>(5162423)+194900</f>
        <v>5357323</v>
      </c>
      <c r="G84" s="311">
        <f>(3617760)+20400</f>
        <v>3638160</v>
      </c>
      <c r="H84" s="311">
        <v>286789</v>
      </c>
      <c r="I84" s="311"/>
      <c r="J84" s="359">
        <f t="shared" si="30"/>
        <v>274250</v>
      </c>
      <c r="K84" s="311">
        <v>274250</v>
      </c>
      <c r="L84" s="311"/>
      <c r="M84" s="311"/>
      <c r="N84" s="311"/>
      <c r="O84" s="266">
        <f t="shared" si="33"/>
        <v>274250</v>
      </c>
      <c r="P84" s="359">
        <f t="shared" si="31"/>
        <v>5631573</v>
      </c>
      <c r="R84" s="358" t="b">
        <f>K84='d5'!I52</f>
        <v>1</v>
      </c>
    </row>
    <row r="85" spans="1:18" ht="409.5" x14ac:dyDescent="0.2">
      <c r="A85" s="360" t="s">
        <v>394</v>
      </c>
      <c r="B85" s="360" t="s">
        <v>395</v>
      </c>
      <c r="C85" s="360" t="s">
        <v>289</v>
      </c>
      <c r="D85" s="360" t="s">
        <v>502</v>
      </c>
      <c r="E85" s="359">
        <f t="shared" si="34"/>
        <v>1554600</v>
      </c>
      <c r="F85" s="311">
        <v>1554600</v>
      </c>
      <c r="G85" s="311"/>
      <c r="H85" s="311"/>
      <c r="I85" s="311"/>
      <c r="J85" s="359">
        <f t="shared" si="30"/>
        <v>0</v>
      </c>
      <c r="K85" s="359"/>
      <c r="L85" s="311"/>
      <c r="M85" s="311"/>
      <c r="N85" s="311"/>
      <c r="O85" s="266">
        <f t="shared" si="33"/>
        <v>0</v>
      </c>
      <c r="P85" s="359">
        <f>+J85+E85</f>
        <v>1554600</v>
      </c>
      <c r="R85" s="358"/>
    </row>
    <row r="86" spans="1:18" ht="274.5" x14ac:dyDescent="0.2">
      <c r="A86" s="360" t="s">
        <v>503</v>
      </c>
      <c r="B86" s="360" t="s">
        <v>504</v>
      </c>
      <c r="C86" s="360" t="s">
        <v>289</v>
      </c>
      <c r="D86" s="360" t="s">
        <v>551</v>
      </c>
      <c r="E86" s="359">
        <f t="shared" si="34"/>
        <v>135534</v>
      </c>
      <c r="F86" s="311">
        <v>135534</v>
      </c>
      <c r="G86" s="311"/>
      <c r="H86" s="311"/>
      <c r="I86" s="311"/>
      <c r="J86" s="359">
        <f t="shared" si="30"/>
        <v>0</v>
      </c>
      <c r="K86" s="311"/>
      <c r="L86" s="311"/>
      <c r="M86" s="311"/>
      <c r="N86" s="311"/>
      <c r="O86" s="266">
        <f t="shared" si="33"/>
        <v>0</v>
      </c>
      <c r="P86" s="359">
        <f>+J86+E86</f>
        <v>135534</v>
      </c>
      <c r="R86" s="358"/>
    </row>
    <row r="87" spans="1:18" ht="112.7" customHeight="1" x14ac:dyDescent="0.2">
      <c r="A87" s="360" t="s">
        <v>505</v>
      </c>
      <c r="B87" s="360" t="s">
        <v>506</v>
      </c>
      <c r="C87" s="360" t="s">
        <v>289</v>
      </c>
      <c r="D87" s="360" t="s">
        <v>552</v>
      </c>
      <c r="E87" s="359">
        <f t="shared" si="34"/>
        <v>168</v>
      </c>
      <c r="F87" s="311">
        <v>168</v>
      </c>
      <c r="G87" s="311"/>
      <c r="H87" s="311"/>
      <c r="I87" s="311"/>
      <c r="J87" s="359">
        <f t="shared" si="30"/>
        <v>0</v>
      </c>
      <c r="K87" s="311"/>
      <c r="L87" s="311"/>
      <c r="M87" s="311"/>
      <c r="N87" s="311"/>
      <c r="O87" s="266">
        <f t="shared" si="33"/>
        <v>0</v>
      </c>
      <c r="P87" s="359">
        <f>+J87+E87</f>
        <v>168</v>
      </c>
      <c r="R87" s="358"/>
    </row>
    <row r="88" spans="1:18" ht="366" x14ac:dyDescent="0.2">
      <c r="A88" s="360" t="s">
        <v>555</v>
      </c>
      <c r="B88" s="360" t="s">
        <v>554</v>
      </c>
      <c r="C88" s="360" t="s">
        <v>79</v>
      </c>
      <c r="D88" s="360" t="s">
        <v>553</v>
      </c>
      <c r="E88" s="359">
        <f t="shared" si="34"/>
        <v>1808500</v>
      </c>
      <c r="F88" s="311">
        <v>1808500</v>
      </c>
      <c r="G88" s="311"/>
      <c r="H88" s="311"/>
      <c r="I88" s="311"/>
      <c r="J88" s="359">
        <f t="shared" si="30"/>
        <v>0</v>
      </c>
      <c r="K88" s="359"/>
      <c r="L88" s="311"/>
      <c r="M88" s="311"/>
      <c r="N88" s="311"/>
      <c r="O88" s="266">
        <f t="shared" si="33"/>
        <v>0</v>
      </c>
      <c r="P88" s="359">
        <f>E88+J88</f>
        <v>1808500</v>
      </c>
      <c r="R88" s="358"/>
    </row>
    <row r="89" spans="1:18" ht="228.75" x14ac:dyDescent="0.2">
      <c r="A89" s="360" t="s">
        <v>507</v>
      </c>
      <c r="B89" s="360" t="s">
        <v>508</v>
      </c>
      <c r="C89" s="360" t="s">
        <v>296</v>
      </c>
      <c r="D89" s="360" t="s">
        <v>556</v>
      </c>
      <c r="E89" s="359">
        <f t="shared" si="34"/>
        <v>625000</v>
      </c>
      <c r="F89" s="311">
        <f>(550000)+75000</f>
        <v>625000</v>
      </c>
      <c r="G89" s="311"/>
      <c r="H89" s="311"/>
      <c r="I89" s="311"/>
      <c r="J89" s="359">
        <f t="shared" si="30"/>
        <v>0</v>
      </c>
      <c r="K89" s="311"/>
      <c r="L89" s="311"/>
      <c r="M89" s="311"/>
      <c r="N89" s="311"/>
      <c r="O89" s="266">
        <f t="shared" si="33"/>
        <v>0</v>
      </c>
      <c r="P89" s="359">
        <f>E89+J89</f>
        <v>625000</v>
      </c>
      <c r="R89" s="358"/>
    </row>
    <row r="90" spans="1:18" ht="91.5" x14ac:dyDescent="0.2">
      <c r="A90" s="360" t="s">
        <v>766</v>
      </c>
      <c r="B90" s="360" t="s">
        <v>616</v>
      </c>
      <c r="C90" s="360" t="s">
        <v>617</v>
      </c>
      <c r="D90" s="360" t="s">
        <v>615</v>
      </c>
      <c r="E90" s="359">
        <f t="shared" si="34"/>
        <v>311000</v>
      </c>
      <c r="F90" s="311">
        <f>(250000)+61000</f>
        <v>311000</v>
      </c>
      <c r="G90" s="311">
        <f>(205000)+50000</f>
        <v>255000</v>
      </c>
      <c r="H90" s="311"/>
      <c r="I90" s="311"/>
      <c r="J90" s="359">
        <f t="shared" si="30"/>
        <v>0</v>
      </c>
      <c r="K90" s="311"/>
      <c r="L90" s="311"/>
      <c r="M90" s="311"/>
      <c r="N90" s="311"/>
      <c r="O90" s="266">
        <f t="shared" si="33"/>
        <v>0</v>
      </c>
      <c r="P90" s="359">
        <f>E90+J90</f>
        <v>311000</v>
      </c>
      <c r="R90" s="358"/>
    </row>
    <row r="91" spans="1:18" ht="409.5" x14ac:dyDescent="0.2">
      <c r="A91" s="476" t="s">
        <v>925</v>
      </c>
      <c r="B91" s="476" t="s">
        <v>926</v>
      </c>
      <c r="C91" s="476" t="s">
        <v>79</v>
      </c>
      <c r="D91" s="276" t="s">
        <v>927</v>
      </c>
      <c r="E91" s="488">
        <f t="shared" si="34"/>
        <v>0</v>
      </c>
      <c r="F91" s="491"/>
      <c r="G91" s="491"/>
      <c r="H91" s="491"/>
      <c r="I91" s="491"/>
      <c r="J91" s="488">
        <f t="shared" si="30"/>
        <v>5371203.1200000001</v>
      </c>
      <c r="K91" s="491">
        <v>5371203.1200000001</v>
      </c>
      <c r="L91" s="491"/>
      <c r="M91" s="491"/>
      <c r="N91" s="491"/>
      <c r="O91" s="493">
        <f t="shared" si="33"/>
        <v>5371203.1200000001</v>
      </c>
      <c r="P91" s="488">
        <f>E91+J91</f>
        <v>5371203.1200000001</v>
      </c>
      <c r="R91" s="499" t="b">
        <f>'d5'!I53=K91</f>
        <v>1</v>
      </c>
    </row>
    <row r="92" spans="1:18" ht="409.5" x14ac:dyDescent="0.2">
      <c r="A92" s="492"/>
      <c r="B92" s="492"/>
      <c r="C92" s="492"/>
      <c r="D92" s="276" t="s">
        <v>928</v>
      </c>
      <c r="E92" s="492"/>
      <c r="F92" s="492"/>
      <c r="G92" s="492"/>
      <c r="H92" s="492"/>
      <c r="I92" s="492"/>
      <c r="J92" s="492"/>
      <c r="K92" s="492"/>
      <c r="L92" s="492"/>
      <c r="M92" s="492"/>
      <c r="N92" s="492"/>
      <c r="O92" s="494"/>
      <c r="P92" s="492"/>
      <c r="R92" s="500"/>
    </row>
    <row r="93" spans="1:18" ht="409.5" x14ac:dyDescent="0.2">
      <c r="A93" s="477"/>
      <c r="B93" s="477"/>
      <c r="C93" s="477"/>
      <c r="D93" s="277" t="s">
        <v>929</v>
      </c>
      <c r="E93" s="477"/>
      <c r="F93" s="477"/>
      <c r="G93" s="477"/>
      <c r="H93" s="477"/>
      <c r="I93" s="477"/>
      <c r="J93" s="477"/>
      <c r="K93" s="477"/>
      <c r="L93" s="477"/>
      <c r="M93" s="477"/>
      <c r="N93" s="477"/>
      <c r="O93" s="495"/>
      <c r="P93" s="477"/>
      <c r="R93" s="500"/>
    </row>
    <row r="94" spans="1:18" ht="409.5" x14ac:dyDescent="0.2">
      <c r="A94" s="507">
        <v>813222</v>
      </c>
      <c r="B94" s="507">
        <v>3222</v>
      </c>
      <c r="C94" s="507">
        <v>1060</v>
      </c>
      <c r="D94" s="339" t="s">
        <v>978</v>
      </c>
      <c r="E94" s="501">
        <f t="shared" ref="E94" si="39">F94</f>
        <v>0</v>
      </c>
      <c r="F94" s="491"/>
      <c r="G94" s="491"/>
      <c r="H94" s="491"/>
      <c r="I94" s="491"/>
      <c r="J94" s="488">
        <f t="shared" ref="J94" si="40">L94+O94</f>
        <v>854690</v>
      </c>
      <c r="K94" s="491">
        <v>854690</v>
      </c>
      <c r="L94" s="491"/>
      <c r="M94" s="491"/>
      <c r="N94" s="491"/>
      <c r="O94" s="493">
        <f t="shared" ref="O94" si="41">K94</f>
        <v>854690</v>
      </c>
      <c r="P94" s="488">
        <f>E94+J94</f>
        <v>854690</v>
      </c>
      <c r="R94" s="499" t="b">
        <f>K94='d5'!I56</f>
        <v>1</v>
      </c>
    </row>
    <row r="95" spans="1:18" ht="409.5" x14ac:dyDescent="0.2">
      <c r="A95" s="590"/>
      <c r="B95" s="590"/>
      <c r="C95" s="590"/>
      <c r="D95" s="277" t="s">
        <v>979</v>
      </c>
      <c r="E95" s="592"/>
      <c r="F95" s="589"/>
      <c r="G95" s="589"/>
      <c r="H95" s="589"/>
      <c r="I95" s="589"/>
      <c r="J95" s="589"/>
      <c r="K95" s="589"/>
      <c r="L95" s="589"/>
      <c r="M95" s="589"/>
      <c r="N95" s="589"/>
      <c r="O95" s="593"/>
      <c r="P95" s="589"/>
      <c r="R95" s="500"/>
    </row>
    <row r="96" spans="1:18" ht="409.5" x14ac:dyDescent="0.2">
      <c r="A96" s="590"/>
      <c r="B96" s="590"/>
      <c r="C96" s="590"/>
      <c r="D96" s="277" t="s">
        <v>980</v>
      </c>
      <c r="E96" s="592"/>
      <c r="F96" s="589"/>
      <c r="G96" s="589"/>
      <c r="H96" s="589"/>
      <c r="I96" s="589"/>
      <c r="J96" s="589"/>
      <c r="K96" s="589"/>
      <c r="L96" s="589"/>
      <c r="M96" s="589"/>
      <c r="N96" s="589"/>
      <c r="O96" s="593"/>
      <c r="P96" s="589"/>
      <c r="R96" s="500"/>
    </row>
    <row r="97" spans="1:18" ht="183" x14ac:dyDescent="0.2">
      <c r="A97" s="591"/>
      <c r="B97" s="591"/>
      <c r="C97" s="591"/>
      <c r="D97" s="277" t="s">
        <v>981</v>
      </c>
      <c r="E97" s="592"/>
      <c r="F97" s="469"/>
      <c r="G97" s="469"/>
      <c r="H97" s="469"/>
      <c r="I97" s="469"/>
      <c r="J97" s="469"/>
      <c r="K97" s="469"/>
      <c r="L97" s="469"/>
      <c r="M97" s="469"/>
      <c r="N97" s="469"/>
      <c r="O97" s="594"/>
      <c r="P97" s="469"/>
      <c r="R97" s="500"/>
    </row>
    <row r="98" spans="1:18" ht="409.5" x14ac:dyDescent="0.2">
      <c r="A98" s="476" t="s">
        <v>930</v>
      </c>
      <c r="B98" s="476" t="s">
        <v>931</v>
      </c>
      <c r="C98" s="476" t="s">
        <v>79</v>
      </c>
      <c r="D98" s="278" t="s">
        <v>932</v>
      </c>
      <c r="E98" s="488">
        <f t="shared" ref="E98" si="42">F98</f>
        <v>0</v>
      </c>
      <c r="F98" s="491"/>
      <c r="G98" s="491"/>
      <c r="H98" s="491"/>
      <c r="I98" s="491"/>
      <c r="J98" s="488">
        <f t="shared" ref="J98" si="43">L98+O98</f>
        <v>7952988.3600000003</v>
      </c>
      <c r="K98" s="491">
        <v>7952988.3600000003</v>
      </c>
      <c r="L98" s="491"/>
      <c r="M98" s="491"/>
      <c r="N98" s="491"/>
      <c r="O98" s="493">
        <f t="shared" ref="O98" si="44">K98</f>
        <v>7952988.3600000003</v>
      </c>
      <c r="P98" s="488">
        <f>E98+J98</f>
        <v>7952988.3600000003</v>
      </c>
      <c r="R98" s="499" t="b">
        <f>K98='d5'!I60</f>
        <v>1</v>
      </c>
    </row>
    <row r="99" spans="1:18" ht="409.5" x14ac:dyDescent="0.2">
      <c r="A99" s="504"/>
      <c r="B99" s="504"/>
      <c r="C99" s="504"/>
      <c r="D99" s="277" t="s">
        <v>933</v>
      </c>
      <c r="E99" s="492"/>
      <c r="F99" s="492"/>
      <c r="G99" s="492"/>
      <c r="H99" s="492"/>
      <c r="I99" s="492"/>
      <c r="J99" s="492"/>
      <c r="K99" s="492"/>
      <c r="L99" s="492"/>
      <c r="M99" s="492"/>
      <c r="N99" s="492"/>
      <c r="O99" s="494"/>
      <c r="P99" s="492"/>
      <c r="R99" s="500"/>
    </row>
    <row r="100" spans="1:18" ht="137.25" x14ac:dyDescent="0.2">
      <c r="A100" s="505"/>
      <c r="B100" s="505"/>
      <c r="C100" s="505"/>
      <c r="D100" s="277" t="s">
        <v>934</v>
      </c>
      <c r="E100" s="477"/>
      <c r="F100" s="477"/>
      <c r="G100" s="477"/>
      <c r="H100" s="477"/>
      <c r="I100" s="477"/>
      <c r="J100" s="477"/>
      <c r="K100" s="477"/>
      <c r="L100" s="477"/>
      <c r="M100" s="477"/>
      <c r="N100" s="477"/>
      <c r="O100" s="495"/>
      <c r="P100" s="477"/>
      <c r="R100" s="500"/>
    </row>
    <row r="101" spans="1:18" ht="409.5" x14ac:dyDescent="0.2">
      <c r="A101" s="476" t="s">
        <v>393</v>
      </c>
      <c r="B101" s="476" t="s">
        <v>280</v>
      </c>
      <c r="C101" s="506" t="s">
        <v>273</v>
      </c>
      <c r="D101" s="275" t="s">
        <v>509</v>
      </c>
      <c r="E101" s="501">
        <f>F101</f>
        <v>919538</v>
      </c>
      <c r="F101" s="491">
        <f>(1030700)-111162</f>
        <v>919538</v>
      </c>
      <c r="G101" s="491"/>
      <c r="H101" s="491"/>
      <c r="I101" s="491"/>
      <c r="J101" s="488">
        <f t="shared" si="30"/>
        <v>0</v>
      </c>
      <c r="K101" s="488"/>
      <c r="L101" s="491"/>
      <c r="M101" s="491"/>
      <c r="N101" s="491"/>
      <c r="O101" s="493">
        <f t="shared" si="33"/>
        <v>0</v>
      </c>
      <c r="P101" s="488">
        <f>E101+J101</f>
        <v>919538</v>
      </c>
      <c r="R101" s="358"/>
    </row>
    <row r="102" spans="1:18" ht="327.75" customHeight="1" x14ac:dyDescent="0.2">
      <c r="A102" s="492"/>
      <c r="B102" s="492"/>
      <c r="C102" s="503"/>
      <c r="D102" s="277" t="s">
        <v>778</v>
      </c>
      <c r="E102" s="502"/>
      <c r="F102" s="492"/>
      <c r="G102" s="492"/>
      <c r="H102" s="492"/>
      <c r="I102" s="492"/>
      <c r="J102" s="492"/>
      <c r="K102" s="492"/>
      <c r="L102" s="492"/>
      <c r="M102" s="492"/>
      <c r="N102" s="492"/>
      <c r="O102" s="494"/>
      <c r="P102" s="489"/>
      <c r="R102" s="358"/>
    </row>
    <row r="103" spans="1:18" ht="91.5" x14ac:dyDescent="0.2">
      <c r="A103" s="477"/>
      <c r="B103" s="477"/>
      <c r="C103" s="503"/>
      <c r="D103" s="274" t="s">
        <v>779</v>
      </c>
      <c r="E103" s="503"/>
      <c r="F103" s="477"/>
      <c r="G103" s="477"/>
      <c r="H103" s="477"/>
      <c r="I103" s="477"/>
      <c r="J103" s="477"/>
      <c r="K103" s="477"/>
      <c r="L103" s="477"/>
      <c r="M103" s="477"/>
      <c r="N103" s="477"/>
      <c r="O103" s="495"/>
      <c r="P103" s="477"/>
      <c r="R103" s="358"/>
    </row>
    <row r="104" spans="1:18" ht="183" x14ac:dyDescent="0.2">
      <c r="A104" s="360" t="s">
        <v>510</v>
      </c>
      <c r="B104" s="360" t="s">
        <v>512</v>
      </c>
      <c r="C104" s="360" t="s">
        <v>281</v>
      </c>
      <c r="D104" s="269" t="s">
        <v>514</v>
      </c>
      <c r="E104" s="359">
        <f t="shared" si="34"/>
        <v>5249475</v>
      </c>
      <c r="F104" s="311">
        <f>(4578467)+671008</f>
        <v>5249475</v>
      </c>
      <c r="G104" s="249">
        <f>(2541439)+13948</f>
        <v>2555387</v>
      </c>
      <c r="H104" s="249">
        <v>379045</v>
      </c>
      <c r="I104" s="311"/>
      <c r="J104" s="359">
        <f t="shared" ref="J104:J109" si="45">L104+O104</f>
        <v>3688330</v>
      </c>
      <c r="K104" s="311">
        <f>((1380000+650000)+874330)+300000+95000-300000+689000</f>
        <v>3688330</v>
      </c>
      <c r="L104" s="311"/>
      <c r="M104" s="311"/>
      <c r="N104" s="311"/>
      <c r="O104" s="266">
        <f t="shared" ref="O104:O109" si="46">K104</f>
        <v>3688330</v>
      </c>
      <c r="P104" s="359">
        <f t="shared" ref="P104:P109" si="47">E104+J104</f>
        <v>8937805</v>
      </c>
      <c r="R104" s="358" t="b">
        <f>K104='d5'!I63+'d5'!I64</f>
        <v>0</v>
      </c>
    </row>
    <row r="105" spans="1:18" ht="137.25" x14ac:dyDescent="0.2">
      <c r="A105" s="360" t="s">
        <v>511</v>
      </c>
      <c r="B105" s="360" t="s">
        <v>513</v>
      </c>
      <c r="C105" s="360" t="s">
        <v>281</v>
      </c>
      <c r="D105" s="269" t="s">
        <v>515</v>
      </c>
      <c r="E105" s="359">
        <f t="shared" si="34"/>
        <v>27605871</v>
      </c>
      <c r="F105" s="311">
        <f>((23486540)+199000)+561000+24836+46500+673400+7500+420100+52500-1000000+3000000+134495</f>
        <v>27605871</v>
      </c>
      <c r="G105" s="311"/>
      <c r="H105" s="311"/>
      <c r="I105" s="311"/>
      <c r="J105" s="359">
        <f t="shared" si="45"/>
        <v>419000</v>
      </c>
      <c r="K105" s="311">
        <f>(220000)+199000</f>
        <v>419000</v>
      </c>
      <c r="L105" s="311"/>
      <c r="M105" s="311"/>
      <c r="N105" s="311"/>
      <c r="O105" s="266">
        <f t="shared" si="46"/>
        <v>419000</v>
      </c>
      <c r="P105" s="359">
        <f t="shared" si="47"/>
        <v>28024871</v>
      </c>
      <c r="R105" s="358" t="b">
        <f>K105='d5'!I66+'d5'!I65</f>
        <v>1</v>
      </c>
    </row>
    <row r="106" spans="1:18" ht="137.25" x14ac:dyDescent="0.2">
      <c r="A106" s="360" t="s">
        <v>593</v>
      </c>
      <c r="B106" s="360" t="s">
        <v>591</v>
      </c>
      <c r="C106" s="360" t="s">
        <v>529</v>
      </c>
      <c r="D106" s="269" t="s">
        <v>592</v>
      </c>
      <c r="E106" s="359">
        <f t="shared" si="34"/>
        <v>0</v>
      </c>
      <c r="F106" s="311"/>
      <c r="G106" s="311"/>
      <c r="H106" s="311"/>
      <c r="I106" s="311"/>
      <c r="J106" s="359">
        <f t="shared" si="45"/>
        <v>3241964</v>
      </c>
      <c r="K106" s="311">
        <f>(3500000)-258036</f>
        <v>3241964</v>
      </c>
      <c r="L106" s="311"/>
      <c r="M106" s="311"/>
      <c r="N106" s="311"/>
      <c r="O106" s="266">
        <f t="shared" si="46"/>
        <v>3241964</v>
      </c>
      <c r="P106" s="359">
        <f t="shared" si="47"/>
        <v>3241964</v>
      </c>
      <c r="R106" s="358" t="b">
        <f>K106='d5'!I67</f>
        <v>0</v>
      </c>
    </row>
    <row r="107" spans="1:18" ht="409.5" x14ac:dyDescent="0.2">
      <c r="A107" s="360" t="s">
        <v>960</v>
      </c>
      <c r="B107" s="360" t="s">
        <v>961</v>
      </c>
      <c r="C107" s="360" t="s">
        <v>529</v>
      </c>
      <c r="D107" s="269" t="s">
        <v>959</v>
      </c>
      <c r="E107" s="359">
        <f t="shared" si="34"/>
        <v>0</v>
      </c>
      <c r="F107" s="311"/>
      <c r="G107" s="311"/>
      <c r="H107" s="311"/>
      <c r="I107" s="311"/>
      <c r="J107" s="359">
        <f t="shared" si="45"/>
        <v>530290</v>
      </c>
      <c r="K107" s="311">
        <v>530290</v>
      </c>
      <c r="L107" s="311"/>
      <c r="M107" s="311"/>
      <c r="N107" s="311"/>
      <c r="O107" s="266">
        <f t="shared" si="46"/>
        <v>530290</v>
      </c>
      <c r="P107" s="359">
        <f t="shared" si="47"/>
        <v>530290</v>
      </c>
      <c r="R107" s="358" t="b">
        <f>K107='d5'!I68</f>
        <v>1</v>
      </c>
    </row>
    <row r="108" spans="1:18" ht="91.5" x14ac:dyDescent="0.2">
      <c r="A108" s="360" t="s">
        <v>686</v>
      </c>
      <c r="B108" s="360" t="s">
        <v>687</v>
      </c>
      <c r="C108" s="360" t="s">
        <v>444</v>
      </c>
      <c r="D108" s="269" t="s">
        <v>688</v>
      </c>
      <c r="E108" s="359">
        <f t="shared" si="34"/>
        <v>0</v>
      </c>
      <c r="F108" s="311"/>
      <c r="G108" s="311"/>
      <c r="H108" s="311"/>
      <c r="I108" s="311"/>
      <c r="J108" s="359">
        <f t="shared" si="45"/>
        <v>2000000</v>
      </c>
      <c r="K108" s="311">
        <f>(1000000)+1000000</f>
        <v>2000000</v>
      </c>
      <c r="L108" s="311"/>
      <c r="M108" s="311"/>
      <c r="N108" s="311"/>
      <c r="O108" s="266">
        <f t="shared" si="46"/>
        <v>2000000</v>
      </c>
      <c r="P108" s="359">
        <f t="shared" si="47"/>
        <v>2000000</v>
      </c>
      <c r="R108" s="358" t="b">
        <f>K108='d5'!I69</f>
        <v>1</v>
      </c>
    </row>
    <row r="109" spans="1:18" ht="409.5" x14ac:dyDescent="0.2">
      <c r="A109" s="476" t="s">
        <v>723</v>
      </c>
      <c r="B109" s="476" t="s">
        <v>525</v>
      </c>
      <c r="C109" s="476" t="s">
        <v>250</v>
      </c>
      <c r="D109" s="267" t="s">
        <v>536</v>
      </c>
      <c r="E109" s="486">
        <f t="shared" si="34"/>
        <v>0</v>
      </c>
      <c r="F109" s="482"/>
      <c r="G109" s="482"/>
      <c r="H109" s="482"/>
      <c r="I109" s="482"/>
      <c r="J109" s="488">
        <f t="shared" si="45"/>
        <v>431505</v>
      </c>
      <c r="K109" s="482"/>
      <c r="L109" s="482">
        <f>(566000)-134495</f>
        <v>431505</v>
      </c>
      <c r="M109" s="482"/>
      <c r="N109" s="482"/>
      <c r="O109" s="493">
        <f t="shared" si="46"/>
        <v>0</v>
      </c>
      <c r="P109" s="486">
        <f t="shared" si="47"/>
        <v>431505</v>
      </c>
      <c r="Q109" s="115">
        <f>P109</f>
        <v>431505</v>
      </c>
      <c r="R109" s="358"/>
    </row>
    <row r="110" spans="1:18" ht="137.25" x14ac:dyDescent="0.2">
      <c r="A110" s="477"/>
      <c r="B110" s="477"/>
      <c r="C110" s="477"/>
      <c r="D110" s="268" t="s">
        <v>537</v>
      </c>
      <c r="E110" s="487"/>
      <c r="F110" s="490"/>
      <c r="G110" s="490"/>
      <c r="H110" s="490"/>
      <c r="I110" s="490"/>
      <c r="J110" s="477"/>
      <c r="K110" s="477"/>
      <c r="L110" s="490"/>
      <c r="M110" s="490"/>
      <c r="N110" s="490"/>
      <c r="O110" s="495"/>
      <c r="P110" s="487"/>
      <c r="R110" s="358"/>
    </row>
    <row r="111" spans="1:18" ht="180" x14ac:dyDescent="0.2">
      <c r="A111" s="327">
        <v>1000000</v>
      </c>
      <c r="B111" s="327"/>
      <c r="C111" s="327"/>
      <c r="D111" s="328" t="s">
        <v>43</v>
      </c>
      <c r="E111" s="329">
        <f>E112</f>
        <v>83355564</v>
      </c>
      <c r="F111" s="329">
        <f t="shared" ref="F111:G111" si="48">F112</f>
        <v>83355564</v>
      </c>
      <c r="G111" s="329">
        <f t="shared" si="48"/>
        <v>57740325</v>
      </c>
      <c r="H111" s="329">
        <f>H112</f>
        <v>3263442</v>
      </c>
      <c r="I111" s="329">
        <f t="shared" ref="I111" si="49">I112</f>
        <v>0</v>
      </c>
      <c r="J111" s="329">
        <f>J112</f>
        <v>15226334</v>
      </c>
      <c r="K111" s="329">
        <f>K112</f>
        <v>7739554</v>
      </c>
      <c r="L111" s="329">
        <f>L112</f>
        <v>7451780</v>
      </c>
      <c r="M111" s="329">
        <f t="shared" ref="M111" si="50">M112</f>
        <v>5409770</v>
      </c>
      <c r="N111" s="329">
        <f>N112</f>
        <v>197280</v>
      </c>
      <c r="O111" s="329">
        <f>O112</f>
        <v>7774554</v>
      </c>
      <c r="P111" s="329">
        <f t="shared" ref="P111" si="51">P112</f>
        <v>98581898</v>
      </c>
    </row>
    <row r="112" spans="1:18" ht="180" x14ac:dyDescent="0.2">
      <c r="A112" s="324">
        <v>1010000</v>
      </c>
      <c r="B112" s="324"/>
      <c r="C112" s="324"/>
      <c r="D112" s="325" t="s">
        <v>62</v>
      </c>
      <c r="E112" s="326">
        <f>F112</f>
        <v>83355564</v>
      </c>
      <c r="F112" s="326">
        <f>SUM(F113:F120)</f>
        <v>83355564</v>
      </c>
      <c r="G112" s="326">
        <f t="shared" ref="G112:I112" si="52">SUM(G113:G120)</f>
        <v>57740325</v>
      </c>
      <c r="H112" s="326">
        <f t="shared" si="52"/>
        <v>3263442</v>
      </c>
      <c r="I112" s="326">
        <f t="shared" si="52"/>
        <v>0</v>
      </c>
      <c r="J112" s="326">
        <f t="shared" ref="J112:J120" si="53">L112+O112</f>
        <v>15226334</v>
      </c>
      <c r="K112" s="326">
        <f t="shared" ref="K112:O112" si="54">SUM(K113:K120)</f>
        <v>7739554</v>
      </c>
      <c r="L112" s="326">
        <f t="shared" si="54"/>
        <v>7451780</v>
      </c>
      <c r="M112" s="326">
        <f t="shared" si="54"/>
        <v>5409770</v>
      </c>
      <c r="N112" s="326">
        <f t="shared" si="54"/>
        <v>197280</v>
      </c>
      <c r="O112" s="326">
        <f t="shared" si="54"/>
        <v>7774554</v>
      </c>
      <c r="P112" s="326">
        <f t="shared" ref="P112:P119" si="55">E112+J112</f>
        <v>98581898</v>
      </c>
      <c r="Q112" s="146" t="b">
        <f>P112=P113+P114+P115+P116+P117+P118+P119+P120</f>
        <v>1</v>
      </c>
      <c r="R112" s="358" t="b">
        <f>K112='d5'!I71</f>
        <v>1</v>
      </c>
    </row>
    <row r="113" spans="1:18" ht="274.5" x14ac:dyDescent="0.2">
      <c r="A113" s="360" t="s">
        <v>34</v>
      </c>
      <c r="B113" s="360" t="s">
        <v>268</v>
      </c>
      <c r="C113" s="360" t="s">
        <v>269</v>
      </c>
      <c r="D113" s="360" t="s">
        <v>267</v>
      </c>
      <c r="E113" s="359">
        <f>F113</f>
        <v>47590215</v>
      </c>
      <c r="F113" s="311">
        <f>((46221680)+69535)+1065000+234000</f>
        <v>47590215</v>
      </c>
      <c r="G113" s="311">
        <f>(35856900)+1065000</f>
        <v>36921900</v>
      </c>
      <c r="H113" s="311">
        <f>(1907060)+69535</f>
        <v>1976595</v>
      </c>
      <c r="I113" s="311"/>
      <c r="J113" s="359">
        <f t="shared" si="53"/>
        <v>7699484</v>
      </c>
      <c r="K113" s="311">
        <f>((386442)+1046562)-400000-164900</f>
        <v>868104</v>
      </c>
      <c r="L113" s="311">
        <v>6805480</v>
      </c>
      <c r="M113" s="311">
        <v>5170040</v>
      </c>
      <c r="N113" s="311">
        <v>138080</v>
      </c>
      <c r="O113" s="266">
        <f>K113+25900</f>
        <v>894004</v>
      </c>
      <c r="P113" s="359">
        <f t="shared" si="55"/>
        <v>55289699</v>
      </c>
      <c r="R113" s="358" t="b">
        <f>K113='d5'!I72+'d5'!I73</f>
        <v>1</v>
      </c>
    </row>
    <row r="114" spans="1:18" ht="46.5" x14ac:dyDescent="0.2">
      <c r="A114" s="360" t="s">
        <v>251</v>
      </c>
      <c r="B114" s="360" t="s">
        <v>252</v>
      </c>
      <c r="C114" s="360" t="s">
        <v>255</v>
      </c>
      <c r="D114" s="360" t="s">
        <v>256</v>
      </c>
      <c r="E114" s="359">
        <f t="shared" ref="E114:E117" si="56">F114</f>
        <v>726700</v>
      </c>
      <c r="F114" s="311">
        <v>726700</v>
      </c>
      <c r="G114" s="311"/>
      <c r="H114" s="311"/>
      <c r="I114" s="311"/>
      <c r="J114" s="359">
        <f t="shared" si="53"/>
        <v>0</v>
      </c>
      <c r="K114" s="311"/>
      <c r="L114" s="311"/>
      <c r="M114" s="311"/>
      <c r="N114" s="311"/>
      <c r="O114" s="266">
        <f>K114</f>
        <v>0</v>
      </c>
      <c r="P114" s="359">
        <f t="shared" si="55"/>
        <v>726700</v>
      </c>
      <c r="R114" s="358"/>
    </row>
    <row r="115" spans="1:18" ht="91.5" x14ac:dyDescent="0.2">
      <c r="A115" s="360" t="s">
        <v>257</v>
      </c>
      <c r="B115" s="360" t="s">
        <v>258</v>
      </c>
      <c r="C115" s="360" t="s">
        <v>259</v>
      </c>
      <c r="D115" s="360" t="s">
        <v>260</v>
      </c>
      <c r="E115" s="359">
        <f t="shared" si="56"/>
        <v>7945270</v>
      </c>
      <c r="F115" s="311">
        <f>((7716225)+80300)+148745</f>
        <v>7945270</v>
      </c>
      <c r="G115" s="311">
        <v>5790700</v>
      </c>
      <c r="H115" s="311">
        <v>459705</v>
      </c>
      <c r="I115" s="311"/>
      <c r="J115" s="359">
        <f t="shared" si="53"/>
        <v>716950</v>
      </c>
      <c r="K115" s="311">
        <v>631950</v>
      </c>
      <c r="L115" s="311">
        <v>85000</v>
      </c>
      <c r="M115" s="311">
        <v>9800</v>
      </c>
      <c r="N115" s="311">
        <v>18500</v>
      </c>
      <c r="O115" s="266">
        <f>K115</f>
        <v>631950</v>
      </c>
      <c r="P115" s="359">
        <f t="shared" si="55"/>
        <v>8662220</v>
      </c>
      <c r="R115" s="358" t="b">
        <f>K115='d5'!I74</f>
        <v>1</v>
      </c>
    </row>
    <row r="116" spans="1:18" ht="91.5" x14ac:dyDescent="0.2">
      <c r="A116" s="360" t="s">
        <v>261</v>
      </c>
      <c r="B116" s="360" t="s">
        <v>262</v>
      </c>
      <c r="C116" s="360" t="s">
        <v>259</v>
      </c>
      <c r="D116" s="360" t="s">
        <v>263</v>
      </c>
      <c r="E116" s="359">
        <f t="shared" si="56"/>
        <v>1220535</v>
      </c>
      <c r="F116" s="311">
        <v>1220535</v>
      </c>
      <c r="G116" s="311">
        <v>796025</v>
      </c>
      <c r="H116" s="311">
        <v>201670</v>
      </c>
      <c r="I116" s="311"/>
      <c r="J116" s="359">
        <f t="shared" si="53"/>
        <v>5075000</v>
      </c>
      <c r="K116" s="311">
        <f>(3000000)+2000000</f>
        <v>5000000</v>
      </c>
      <c r="L116" s="311">
        <v>75000</v>
      </c>
      <c r="M116" s="311">
        <v>6100</v>
      </c>
      <c r="N116" s="311">
        <v>3300</v>
      </c>
      <c r="O116" s="266">
        <f>K116</f>
        <v>5000000</v>
      </c>
      <c r="P116" s="359">
        <f t="shared" si="55"/>
        <v>6295535</v>
      </c>
      <c r="R116" s="358" t="b">
        <f>K116='d5'!I75+'d5'!I76</f>
        <v>1</v>
      </c>
    </row>
    <row r="117" spans="1:18" ht="183" x14ac:dyDescent="0.2">
      <c r="A117" s="360" t="s">
        <v>264</v>
      </c>
      <c r="B117" s="360" t="s">
        <v>253</v>
      </c>
      <c r="C117" s="360" t="s">
        <v>265</v>
      </c>
      <c r="D117" s="360" t="s">
        <v>266</v>
      </c>
      <c r="E117" s="359">
        <f t="shared" si="56"/>
        <v>5924182</v>
      </c>
      <c r="F117" s="311">
        <f>((5699642)+116500)+108040</f>
        <v>5924182</v>
      </c>
      <c r="G117" s="311">
        <v>4068700</v>
      </c>
      <c r="H117" s="311">
        <v>590742</v>
      </c>
      <c r="I117" s="311"/>
      <c r="J117" s="359">
        <f t="shared" si="53"/>
        <v>1555400</v>
      </c>
      <c r="K117" s="311">
        <f>(500000)+690000</f>
        <v>1190000</v>
      </c>
      <c r="L117" s="311">
        <v>356300</v>
      </c>
      <c r="M117" s="311">
        <v>218030</v>
      </c>
      <c r="N117" s="311">
        <v>37400</v>
      </c>
      <c r="O117" s="266">
        <f>K117+9100</f>
        <v>1199100</v>
      </c>
      <c r="P117" s="359">
        <f t="shared" si="55"/>
        <v>7479582</v>
      </c>
      <c r="R117" s="358" t="b">
        <f>K117='d5'!I77</f>
        <v>1</v>
      </c>
    </row>
    <row r="118" spans="1:18" ht="137.25" x14ac:dyDescent="0.2">
      <c r="A118" s="360" t="s">
        <v>517</v>
      </c>
      <c r="B118" s="360" t="s">
        <v>518</v>
      </c>
      <c r="C118" s="360" t="s">
        <v>270</v>
      </c>
      <c r="D118" s="360" t="s">
        <v>516</v>
      </c>
      <c r="E118" s="359">
        <f>F118</f>
        <v>13283762</v>
      </c>
      <c r="F118" s="311">
        <f>(13266262)+17500</f>
        <v>13283762</v>
      </c>
      <c r="G118" s="311">
        <v>10163000</v>
      </c>
      <c r="H118" s="311">
        <v>34730</v>
      </c>
      <c r="I118" s="311"/>
      <c r="J118" s="359">
        <f t="shared" si="53"/>
        <v>130000</v>
      </c>
      <c r="K118" s="311"/>
      <c r="L118" s="311">
        <v>130000</v>
      </c>
      <c r="M118" s="311">
        <v>5800</v>
      </c>
      <c r="N118" s="311"/>
      <c r="O118" s="266">
        <f>K118</f>
        <v>0</v>
      </c>
      <c r="P118" s="359">
        <f t="shared" si="55"/>
        <v>13413762</v>
      </c>
      <c r="R118" s="358"/>
    </row>
    <row r="119" spans="1:18" ht="91.5" x14ac:dyDescent="0.2">
      <c r="A119" s="360" t="s">
        <v>519</v>
      </c>
      <c r="B119" s="360" t="s">
        <v>520</v>
      </c>
      <c r="C119" s="360" t="s">
        <v>270</v>
      </c>
      <c r="D119" s="360" t="s">
        <v>521</v>
      </c>
      <c r="E119" s="359">
        <f>F119</f>
        <v>6664900</v>
      </c>
      <c r="F119" s="311">
        <f>((6000000)+300000)+200000+164900</f>
        <v>6664900</v>
      </c>
      <c r="G119" s="311"/>
      <c r="H119" s="311"/>
      <c r="I119" s="311"/>
      <c r="J119" s="359">
        <f t="shared" si="53"/>
        <v>0</v>
      </c>
      <c r="K119" s="311"/>
      <c r="L119" s="311"/>
      <c r="M119" s="311"/>
      <c r="N119" s="311"/>
      <c r="O119" s="266">
        <f>K119</f>
        <v>0</v>
      </c>
      <c r="P119" s="359">
        <f t="shared" si="55"/>
        <v>6664900</v>
      </c>
      <c r="R119" s="358"/>
    </row>
    <row r="120" spans="1:18" ht="91.5" x14ac:dyDescent="0.2">
      <c r="A120" s="360" t="s">
        <v>828</v>
      </c>
      <c r="B120" s="360" t="s">
        <v>287</v>
      </c>
      <c r="C120" s="360" t="s">
        <v>250</v>
      </c>
      <c r="D120" s="360" t="s">
        <v>57</v>
      </c>
      <c r="E120" s="257">
        <f t="shared" ref="E120" si="57">F120</f>
        <v>0</v>
      </c>
      <c r="F120" s="249"/>
      <c r="G120" s="249"/>
      <c r="H120" s="249"/>
      <c r="I120" s="249"/>
      <c r="J120" s="359">
        <f t="shared" si="53"/>
        <v>49500</v>
      </c>
      <c r="K120" s="311">
        <f>(25000)+24500</f>
        <v>49500</v>
      </c>
      <c r="L120" s="249"/>
      <c r="M120" s="249"/>
      <c r="N120" s="249"/>
      <c r="O120" s="266">
        <f t="shared" ref="O120" si="58">K120</f>
        <v>49500</v>
      </c>
      <c r="P120" s="359">
        <f>E120+J120</f>
        <v>49500</v>
      </c>
      <c r="R120" s="358" t="b">
        <f>K120='d5'!I78</f>
        <v>1</v>
      </c>
    </row>
    <row r="121" spans="1:18" ht="135" x14ac:dyDescent="0.2">
      <c r="A121" s="327" t="s">
        <v>40</v>
      </c>
      <c r="B121" s="327"/>
      <c r="C121" s="327"/>
      <c r="D121" s="328" t="s">
        <v>41</v>
      </c>
      <c r="E121" s="329">
        <f>E122</f>
        <v>54119325</v>
      </c>
      <c r="F121" s="329">
        <f t="shared" ref="F121:G121" si="59">F122</f>
        <v>54119325</v>
      </c>
      <c r="G121" s="329">
        <f t="shared" si="59"/>
        <v>18457724</v>
      </c>
      <c r="H121" s="329">
        <f>H122</f>
        <v>1628173</v>
      </c>
      <c r="I121" s="329">
        <f t="shared" ref="I121" si="60">I122</f>
        <v>0</v>
      </c>
      <c r="J121" s="329">
        <f>J122</f>
        <v>5151984</v>
      </c>
      <c r="K121" s="329">
        <f>K122</f>
        <v>3135340</v>
      </c>
      <c r="L121" s="329">
        <f>L122</f>
        <v>2016644</v>
      </c>
      <c r="M121" s="329">
        <f t="shared" ref="M121" si="61">M122</f>
        <v>912155</v>
      </c>
      <c r="N121" s="329">
        <f>N122</f>
        <v>345236</v>
      </c>
      <c r="O121" s="329">
        <f>O122</f>
        <v>3135340</v>
      </c>
      <c r="P121" s="329">
        <f t="shared" ref="P121" si="62">P122</f>
        <v>59271309</v>
      </c>
    </row>
    <row r="122" spans="1:18" ht="135" x14ac:dyDescent="0.2">
      <c r="A122" s="324" t="s">
        <v>39</v>
      </c>
      <c r="B122" s="324"/>
      <c r="C122" s="324"/>
      <c r="D122" s="325" t="s">
        <v>58</v>
      </c>
      <c r="E122" s="326">
        <f>SUM(E123:E136)</f>
        <v>54119325</v>
      </c>
      <c r="F122" s="326">
        <f>SUM(F123:F136)</f>
        <v>54119325</v>
      </c>
      <c r="G122" s="326">
        <f>SUM(G123:G136)</f>
        <v>18457724</v>
      </c>
      <c r="H122" s="326">
        <f>SUM(H123:H136)</f>
        <v>1628173</v>
      </c>
      <c r="I122" s="326">
        <f>SUM(I123:I136)</f>
        <v>0</v>
      </c>
      <c r="J122" s="326">
        <f t="shared" ref="J122:J135" si="63">L122+O122</f>
        <v>5151984</v>
      </c>
      <c r="K122" s="326">
        <f>SUM(K123:K136)</f>
        <v>3135340</v>
      </c>
      <c r="L122" s="326">
        <f>SUM(L123:L136)</f>
        <v>2016644</v>
      </c>
      <c r="M122" s="326">
        <f>SUM(M123:M136)</f>
        <v>912155</v>
      </c>
      <c r="N122" s="326">
        <f>SUM(N123:N136)</f>
        <v>345236</v>
      </c>
      <c r="O122" s="326">
        <f>SUM(O123:O136)</f>
        <v>3135340</v>
      </c>
      <c r="P122" s="326">
        <f>E122+J122</f>
        <v>59271309</v>
      </c>
      <c r="Q122" s="146" t="b">
        <f>P122=P123+P124+P125+P126+P127+P128+P129+P130+P131+P132+P134+P135+P133+P136</f>
        <v>1</v>
      </c>
      <c r="R122" s="358" t="b">
        <f>K122='d5'!I80</f>
        <v>0</v>
      </c>
    </row>
    <row r="123" spans="1:18" ht="137.25" x14ac:dyDescent="0.2">
      <c r="A123" s="360" t="s">
        <v>271</v>
      </c>
      <c r="B123" s="360" t="s">
        <v>272</v>
      </c>
      <c r="C123" s="360" t="s">
        <v>273</v>
      </c>
      <c r="D123" s="360" t="s">
        <v>274</v>
      </c>
      <c r="E123" s="257">
        <f t="shared" ref="E123:E133" si="64">F123</f>
        <v>3511988</v>
      </c>
      <c r="F123" s="249">
        <f>((3278423)+114920)+97250+21395</f>
        <v>3511988</v>
      </c>
      <c r="G123" s="249">
        <f>((2517500)+82000)+97250</f>
        <v>2696750</v>
      </c>
      <c r="H123" s="249">
        <v>66793</v>
      </c>
      <c r="I123" s="249"/>
      <c r="J123" s="359">
        <f t="shared" si="63"/>
        <v>53278</v>
      </c>
      <c r="K123" s="249">
        <v>53278</v>
      </c>
      <c r="L123" s="264"/>
      <c r="M123" s="264"/>
      <c r="N123" s="264"/>
      <c r="O123" s="266">
        <f t="shared" ref="O123:O135" si="65">K123</f>
        <v>53278</v>
      </c>
      <c r="P123" s="359">
        <f>+J123+E123</f>
        <v>3565266</v>
      </c>
      <c r="Q123" s="358"/>
      <c r="R123" s="358" t="b">
        <f>K123='d5'!I81</f>
        <v>0</v>
      </c>
    </row>
    <row r="124" spans="1:18" ht="228.75" x14ac:dyDescent="0.2">
      <c r="A124" s="360" t="s">
        <v>72</v>
      </c>
      <c r="B124" s="360" t="s">
        <v>254</v>
      </c>
      <c r="C124" s="360" t="s">
        <v>273</v>
      </c>
      <c r="D124" s="360" t="s">
        <v>22</v>
      </c>
      <c r="E124" s="257">
        <f t="shared" si="64"/>
        <v>1225790</v>
      </c>
      <c r="F124" s="249">
        <f>(875790)+350000</f>
        <v>1225790</v>
      </c>
      <c r="G124" s="249"/>
      <c r="H124" s="249"/>
      <c r="I124" s="249"/>
      <c r="J124" s="359">
        <f t="shared" si="63"/>
        <v>0</v>
      </c>
      <c r="K124" s="249"/>
      <c r="L124" s="264"/>
      <c r="M124" s="264"/>
      <c r="N124" s="264"/>
      <c r="O124" s="266">
        <f t="shared" si="65"/>
        <v>0</v>
      </c>
      <c r="P124" s="359">
        <f>+J124+E124</f>
        <v>1225790</v>
      </c>
      <c r="R124" s="358"/>
    </row>
    <row r="125" spans="1:18" ht="91.5" x14ac:dyDescent="0.2">
      <c r="A125" s="360" t="s">
        <v>278</v>
      </c>
      <c r="B125" s="360" t="s">
        <v>279</v>
      </c>
      <c r="C125" s="360" t="s">
        <v>273</v>
      </c>
      <c r="D125" s="360" t="s">
        <v>23</v>
      </c>
      <c r="E125" s="257">
        <f t="shared" si="64"/>
        <v>3318391</v>
      </c>
      <c r="F125" s="249">
        <f>((3054118)+225250)+16100+23200-23200+22923</f>
        <v>3318391</v>
      </c>
      <c r="G125" s="249">
        <f>((1623800)+160000)+16100+23200</f>
        <v>1823100</v>
      </c>
      <c r="H125" s="249">
        <v>438288</v>
      </c>
      <c r="I125" s="249"/>
      <c r="J125" s="359">
        <f t="shared" si="63"/>
        <v>1414055</v>
      </c>
      <c r="K125" s="249">
        <f>((592430)+551506)+48687-120556+8000+8988</f>
        <v>1089055</v>
      </c>
      <c r="L125" s="264">
        <v>325000</v>
      </c>
      <c r="M125" s="264">
        <f>(189100)-34100</f>
        <v>155000</v>
      </c>
      <c r="N125" s="264">
        <v>89400</v>
      </c>
      <c r="O125" s="266">
        <f t="shared" si="65"/>
        <v>1089055</v>
      </c>
      <c r="P125" s="359">
        <f t="shared" ref="P125:P136" si="66">E125+J125</f>
        <v>4732446</v>
      </c>
      <c r="R125" s="358" t="b">
        <f>K125='d5'!I82+'d5'!I83+'d5'!I84</f>
        <v>1</v>
      </c>
    </row>
    <row r="126" spans="1:18" ht="91.5" x14ac:dyDescent="0.2">
      <c r="A126" s="360" t="s">
        <v>560</v>
      </c>
      <c r="B126" s="360" t="s">
        <v>561</v>
      </c>
      <c r="C126" s="360" t="s">
        <v>273</v>
      </c>
      <c r="D126" s="360" t="s">
        <v>562</v>
      </c>
      <c r="E126" s="257">
        <f t="shared" si="64"/>
        <v>6005396</v>
      </c>
      <c r="F126" s="249">
        <f>((5640576+301303)+363517)-200000-100000</f>
        <v>6005396</v>
      </c>
      <c r="G126" s="249">
        <v>714843</v>
      </c>
      <c r="H126" s="249">
        <v>97580</v>
      </c>
      <c r="I126" s="249"/>
      <c r="J126" s="359">
        <f t="shared" si="63"/>
        <v>1276503</v>
      </c>
      <c r="K126" s="249">
        <f>((816103)+550600)-120200+30000</f>
        <v>1276503</v>
      </c>
      <c r="L126" s="264"/>
      <c r="M126" s="264"/>
      <c r="N126" s="264"/>
      <c r="O126" s="266">
        <f t="shared" si="65"/>
        <v>1276503</v>
      </c>
      <c r="P126" s="359">
        <f t="shared" si="66"/>
        <v>7281899</v>
      </c>
      <c r="R126" s="358" t="b">
        <f>K126='d5'!I85</f>
        <v>1</v>
      </c>
    </row>
    <row r="127" spans="1:18" ht="137.25" x14ac:dyDescent="0.2">
      <c r="A127" s="360" t="s">
        <v>73</v>
      </c>
      <c r="B127" s="360" t="s">
        <v>275</v>
      </c>
      <c r="C127" s="360" t="s">
        <v>285</v>
      </c>
      <c r="D127" s="360" t="s">
        <v>74</v>
      </c>
      <c r="E127" s="257">
        <f t="shared" si="64"/>
        <v>12196475</v>
      </c>
      <c r="F127" s="249">
        <f>((10002475)+44000)+2000000+150000</f>
        <v>12196475</v>
      </c>
      <c r="G127" s="311"/>
      <c r="H127" s="311"/>
      <c r="I127" s="311"/>
      <c r="J127" s="359">
        <f t="shared" si="63"/>
        <v>0</v>
      </c>
      <c r="K127" s="311"/>
      <c r="L127" s="311"/>
      <c r="M127" s="311"/>
      <c r="N127" s="311"/>
      <c r="O127" s="266">
        <f t="shared" si="65"/>
        <v>0</v>
      </c>
      <c r="P127" s="359">
        <f t="shared" si="66"/>
        <v>12196475</v>
      </c>
      <c r="R127" s="358"/>
    </row>
    <row r="128" spans="1:18" ht="137.25" x14ac:dyDescent="0.2">
      <c r="A128" s="360" t="s">
        <v>75</v>
      </c>
      <c r="B128" s="360" t="s">
        <v>276</v>
      </c>
      <c r="C128" s="360" t="s">
        <v>285</v>
      </c>
      <c r="D128" s="360" t="s">
        <v>6</v>
      </c>
      <c r="E128" s="257">
        <f t="shared" si="64"/>
        <v>1807513</v>
      </c>
      <c r="F128" s="249">
        <f>((1727513)+30000)+50000</f>
        <v>1807513</v>
      </c>
      <c r="G128" s="311"/>
      <c r="H128" s="311"/>
      <c r="I128" s="311"/>
      <c r="J128" s="359">
        <f t="shared" si="63"/>
        <v>0</v>
      </c>
      <c r="K128" s="311"/>
      <c r="L128" s="311"/>
      <c r="M128" s="311"/>
      <c r="N128" s="311"/>
      <c r="O128" s="266">
        <f t="shared" si="65"/>
        <v>0</v>
      </c>
      <c r="P128" s="359">
        <f t="shared" si="66"/>
        <v>1807513</v>
      </c>
      <c r="R128" s="358"/>
    </row>
    <row r="129" spans="1:18" ht="183" x14ac:dyDescent="0.2">
      <c r="A129" s="360" t="s">
        <v>76</v>
      </c>
      <c r="B129" s="360" t="s">
        <v>277</v>
      </c>
      <c r="C129" s="360" t="s">
        <v>285</v>
      </c>
      <c r="D129" s="360" t="s">
        <v>557</v>
      </c>
      <c r="E129" s="257">
        <f>F129</f>
        <v>53014</v>
      </c>
      <c r="F129" s="249">
        <v>53014</v>
      </c>
      <c r="G129" s="249"/>
      <c r="H129" s="249"/>
      <c r="I129" s="311"/>
      <c r="J129" s="359">
        <f t="shared" si="63"/>
        <v>0</v>
      </c>
      <c r="K129" s="311"/>
      <c r="L129" s="249"/>
      <c r="M129" s="249"/>
      <c r="N129" s="249"/>
      <c r="O129" s="266">
        <f t="shared" si="65"/>
        <v>0</v>
      </c>
      <c r="P129" s="359">
        <f t="shared" si="66"/>
        <v>53014</v>
      </c>
      <c r="R129" s="358"/>
    </row>
    <row r="130" spans="1:18" ht="183" x14ac:dyDescent="0.2">
      <c r="A130" s="360" t="s">
        <v>49</v>
      </c>
      <c r="B130" s="360" t="s">
        <v>282</v>
      </c>
      <c r="C130" s="360" t="s">
        <v>285</v>
      </c>
      <c r="D130" s="360" t="s">
        <v>77</v>
      </c>
      <c r="E130" s="257">
        <f t="shared" si="64"/>
        <v>18783097</v>
      </c>
      <c r="F130" s="249">
        <f>((18126095)+615012)+54454+11980+47000+35190+6800-54454-11980-47000</f>
        <v>18783097</v>
      </c>
      <c r="G130" s="249">
        <f>(12402731)+54454-54454</f>
        <v>12402731</v>
      </c>
      <c r="H130" s="249">
        <v>1025512</v>
      </c>
      <c r="I130" s="249"/>
      <c r="J130" s="359">
        <f t="shared" si="63"/>
        <v>2266444</v>
      </c>
      <c r="K130" s="249">
        <f>(519800)+97000</f>
        <v>616800</v>
      </c>
      <c r="L130" s="249">
        <v>1649644</v>
      </c>
      <c r="M130" s="249">
        <v>757155</v>
      </c>
      <c r="N130" s="249">
        <f>255836-15000+15000</f>
        <v>255836</v>
      </c>
      <c r="O130" s="266">
        <f t="shared" si="65"/>
        <v>616800</v>
      </c>
      <c r="P130" s="359">
        <f t="shared" si="66"/>
        <v>21049541</v>
      </c>
      <c r="R130" s="358" t="b">
        <f>K130='d5'!I86+'d5'!I87</f>
        <v>0</v>
      </c>
    </row>
    <row r="131" spans="1:18" ht="183" x14ac:dyDescent="0.2">
      <c r="A131" s="360" t="s">
        <v>50</v>
      </c>
      <c r="B131" s="360" t="s">
        <v>283</v>
      </c>
      <c r="C131" s="360" t="s">
        <v>285</v>
      </c>
      <c r="D131" s="360" t="s">
        <v>78</v>
      </c>
      <c r="E131" s="257">
        <f t="shared" si="64"/>
        <v>4254685</v>
      </c>
      <c r="F131" s="249">
        <v>4254685</v>
      </c>
      <c r="G131" s="249"/>
      <c r="H131" s="249"/>
      <c r="I131" s="249"/>
      <c r="J131" s="359">
        <f t="shared" si="63"/>
        <v>0</v>
      </c>
      <c r="K131" s="249"/>
      <c r="L131" s="249"/>
      <c r="M131" s="249"/>
      <c r="N131" s="249"/>
      <c r="O131" s="266">
        <f t="shared" si="65"/>
        <v>0</v>
      </c>
      <c r="P131" s="359">
        <f t="shared" si="66"/>
        <v>4254685</v>
      </c>
      <c r="R131" s="358"/>
    </row>
    <row r="132" spans="1:18" ht="274.5" x14ac:dyDescent="0.2">
      <c r="A132" s="279" t="s">
        <v>51</v>
      </c>
      <c r="B132" s="279" t="s">
        <v>284</v>
      </c>
      <c r="C132" s="279" t="s">
        <v>285</v>
      </c>
      <c r="D132" s="360" t="s">
        <v>52</v>
      </c>
      <c r="E132" s="257">
        <f t="shared" si="64"/>
        <v>1585766</v>
      </c>
      <c r="F132" s="249">
        <f>((1500611)-44000)+129155</f>
        <v>1585766</v>
      </c>
      <c r="G132" s="311"/>
      <c r="H132" s="311"/>
      <c r="I132" s="311"/>
      <c r="J132" s="359">
        <f t="shared" si="63"/>
        <v>0</v>
      </c>
      <c r="K132" s="311"/>
      <c r="L132" s="311"/>
      <c r="M132" s="311"/>
      <c r="N132" s="311"/>
      <c r="O132" s="266">
        <f t="shared" si="65"/>
        <v>0</v>
      </c>
      <c r="P132" s="359">
        <f t="shared" si="66"/>
        <v>1585766</v>
      </c>
      <c r="R132" s="358"/>
    </row>
    <row r="133" spans="1:18" ht="183" x14ac:dyDescent="0.2">
      <c r="A133" s="360" t="s">
        <v>952</v>
      </c>
      <c r="B133" s="360" t="s">
        <v>953</v>
      </c>
      <c r="C133" s="360" t="s">
        <v>285</v>
      </c>
      <c r="D133" s="360" t="s">
        <v>954</v>
      </c>
      <c r="E133" s="257">
        <f t="shared" si="64"/>
        <v>68296</v>
      </c>
      <c r="F133" s="249">
        <v>68296</v>
      </c>
      <c r="G133" s="249"/>
      <c r="H133" s="249"/>
      <c r="I133" s="249"/>
      <c r="J133" s="359">
        <f t="shared" si="63"/>
        <v>0</v>
      </c>
      <c r="K133" s="249"/>
      <c r="L133" s="249"/>
      <c r="M133" s="249"/>
      <c r="N133" s="249"/>
      <c r="O133" s="266">
        <f t="shared" si="65"/>
        <v>0</v>
      </c>
      <c r="P133" s="359">
        <f t="shared" si="66"/>
        <v>68296</v>
      </c>
      <c r="R133" s="358"/>
    </row>
    <row r="134" spans="1:18" ht="91.5" x14ac:dyDescent="0.2">
      <c r="A134" s="279" t="s">
        <v>53</v>
      </c>
      <c r="B134" s="279" t="s">
        <v>286</v>
      </c>
      <c r="C134" s="279" t="s">
        <v>285</v>
      </c>
      <c r="D134" s="360" t="s">
        <v>54</v>
      </c>
      <c r="E134" s="257">
        <f>F134</f>
        <v>1287914</v>
      </c>
      <c r="F134" s="249">
        <f>((1179249)+88165)+7000+1500+12000</f>
        <v>1287914</v>
      </c>
      <c r="G134" s="311">
        <f>(813300)+7000</f>
        <v>820300</v>
      </c>
      <c r="H134" s="311"/>
      <c r="I134" s="311"/>
      <c r="J134" s="359">
        <f t="shared" si="63"/>
        <v>42000</v>
      </c>
      <c r="K134" s="311"/>
      <c r="L134" s="311">
        <v>42000</v>
      </c>
      <c r="M134" s="311"/>
      <c r="N134" s="311"/>
      <c r="O134" s="266">
        <f t="shared" si="65"/>
        <v>0</v>
      </c>
      <c r="P134" s="359">
        <f t="shared" si="66"/>
        <v>1329914</v>
      </c>
      <c r="R134" s="358"/>
    </row>
    <row r="135" spans="1:18" ht="274.5" x14ac:dyDescent="0.2">
      <c r="A135" s="279" t="s">
        <v>531</v>
      </c>
      <c r="B135" s="279" t="s">
        <v>530</v>
      </c>
      <c r="C135" s="279" t="s">
        <v>529</v>
      </c>
      <c r="D135" s="360" t="s">
        <v>528</v>
      </c>
      <c r="E135" s="257">
        <f>F135</f>
        <v>21000</v>
      </c>
      <c r="F135" s="249">
        <v>21000</v>
      </c>
      <c r="G135" s="311"/>
      <c r="H135" s="311"/>
      <c r="I135" s="311"/>
      <c r="J135" s="359">
        <f t="shared" si="63"/>
        <v>0</v>
      </c>
      <c r="K135" s="311"/>
      <c r="L135" s="311"/>
      <c r="M135" s="311"/>
      <c r="N135" s="311"/>
      <c r="O135" s="266">
        <f t="shared" si="65"/>
        <v>0</v>
      </c>
      <c r="P135" s="359">
        <f t="shared" si="66"/>
        <v>21000</v>
      </c>
      <c r="R135" s="358"/>
    </row>
    <row r="136" spans="1:18" ht="91.5" x14ac:dyDescent="0.2">
      <c r="A136" s="360" t="s">
        <v>876</v>
      </c>
      <c r="B136" s="360" t="s">
        <v>287</v>
      </c>
      <c r="C136" s="360" t="s">
        <v>250</v>
      </c>
      <c r="D136" s="360" t="s">
        <v>57</v>
      </c>
      <c r="E136" s="257">
        <f>F136</f>
        <v>0</v>
      </c>
      <c r="F136" s="249">
        <f>30000-30000</f>
        <v>0</v>
      </c>
      <c r="G136" s="249"/>
      <c r="H136" s="249"/>
      <c r="I136" s="249"/>
      <c r="J136" s="359">
        <f>L136+O136</f>
        <v>99704</v>
      </c>
      <c r="K136" s="311">
        <v>99704</v>
      </c>
      <c r="L136" s="249"/>
      <c r="M136" s="249"/>
      <c r="N136" s="249"/>
      <c r="O136" s="266">
        <f>K136</f>
        <v>99704</v>
      </c>
      <c r="P136" s="359">
        <f t="shared" si="66"/>
        <v>99704</v>
      </c>
      <c r="R136" s="358" t="b">
        <f>K136='d5'!I89</f>
        <v>1</v>
      </c>
    </row>
    <row r="137" spans="1:18" ht="180" x14ac:dyDescent="0.2">
      <c r="A137" s="327" t="s">
        <v>238</v>
      </c>
      <c r="B137" s="327"/>
      <c r="C137" s="327"/>
      <c r="D137" s="328" t="s">
        <v>42</v>
      </c>
      <c r="E137" s="329">
        <f>E138</f>
        <v>275928820</v>
      </c>
      <c r="F137" s="329">
        <f t="shared" ref="F137:G137" si="67">F138</f>
        <v>275928820</v>
      </c>
      <c r="G137" s="329">
        <f t="shared" si="67"/>
        <v>8148348</v>
      </c>
      <c r="H137" s="329">
        <f>H138</f>
        <v>230900</v>
      </c>
      <c r="I137" s="329">
        <f t="shared" ref="I137" si="68">I138</f>
        <v>0</v>
      </c>
      <c r="J137" s="329">
        <f>J138</f>
        <v>241719269.46000001</v>
      </c>
      <c r="K137" s="329">
        <f>K138</f>
        <v>240688347.31</v>
      </c>
      <c r="L137" s="329">
        <f>L138</f>
        <v>1001137</v>
      </c>
      <c r="M137" s="329">
        <f t="shared" ref="M137" si="69">M138</f>
        <v>0</v>
      </c>
      <c r="N137" s="329">
        <f>N138</f>
        <v>0</v>
      </c>
      <c r="O137" s="329">
        <f>O138</f>
        <v>240718132.46000001</v>
      </c>
      <c r="P137" s="329">
        <f>P138</f>
        <v>517648089.46000004</v>
      </c>
    </row>
    <row r="138" spans="1:18" ht="180" x14ac:dyDescent="0.2">
      <c r="A138" s="324" t="s">
        <v>239</v>
      </c>
      <c r="B138" s="324"/>
      <c r="C138" s="324"/>
      <c r="D138" s="325" t="s">
        <v>63</v>
      </c>
      <c r="E138" s="326">
        <f>SUM(E139:E158)</f>
        <v>275928820</v>
      </c>
      <c r="F138" s="326">
        <f>SUM(F139:F158)</f>
        <v>275928820</v>
      </c>
      <c r="G138" s="326">
        <f>SUM(G139:G158)</f>
        <v>8148348</v>
      </c>
      <c r="H138" s="326">
        <f>SUM(H139:H158)</f>
        <v>230900</v>
      </c>
      <c r="I138" s="326">
        <f>SUM(I139:I158)</f>
        <v>0</v>
      </c>
      <c r="J138" s="326">
        <f t="shared" ref="J138:J156" si="70">L138+O138</f>
        <v>241719269.46000001</v>
      </c>
      <c r="K138" s="326">
        <f>SUM(K139:K158)</f>
        <v>240688347.31</v>
      </c>
      <c r="L138" s="326">
        <f>SUM(L139:L158)</f>
        <v>1001137</v>
      </c>
      <c r="M138" s="326">
        <f>SUM(M139:M158)</f>
        <v>0</v>
      </c>
      <c r="N138" s="326">
        <f>SUM(N139:N158)</f>
        <v>0</v>
      </c>
      <c r="O138" s="326">
        <f>SUM(O139:O158)</f>
        <v>240718132.46000001</v>
      </c>
      <c r="P138" s="326">
        <f>E138+J138</f>
        <v>517648089.46000004</v>
      </c>
      <c r="Q138" s="146" t="b">
        <f>P138=P141+P143+P144+P145+P146+P147+P148+P152+P154+P155+P158+P142+P139+P150+P151+P156+P140+P149+P153</f>
        <v>1</v>
      </c>
      <c r="R138" s="358" t="b">
        <f>K138='d5'!I91</f>
        <v>0</v>
      </c>
    </row>
    <row r="139" spans="1:18" ht="228.75" x14ac:dyDescent="0.2">
      <c r="A139" s="360" t="s">
        <v>717</v>
      </c>
      <c r="B139" s="360" t="s">
        <v>335</v>
      </c>
      <c r="C139" s="360" t="s">
        <v>333</v>
      </c>
      <c r="D139" s="360" t="s">
        <v>334</v>
      </c>
      <c r="E139" s="257">
        <f>F139</f>
        <v>9671200</v>
      </c>
      <c r="F139" s="249">
        <f>((9531200)-49300+160000)+25300+4000</f>
        <v>9671200</v>
      </c>
      <c r="G139" s="249">
        <v>7129200</v>
      </c>
      <c r="H139" s="249">
        <f>(134000)+25300+4000</f>
        <v>163300</v>
      </c>
      <c r="I139" s="249"/>
      <c r="J139" s="359">
        <f t="shared" si="70"/>
        <v>0</v>
      </c>
      <c r="K139" s="249"/>
      <c r="L139" s="264"/>
      <c r="M139" s="264"/>
      <c r="N139" s="264"/>
      <c r="O139" s="266">
        <f t="shared" ref="O139:O155" si="71">K139</f>
        <v>0</v>
      </c>
      <c r="P139" s="359">
        <f t="shared" ref="P139:P145" si="72">+J139+E139</f>
        <v>9671200</v>
      </c>
      <c r="Q139" s="146"/>
      <c r="R139" s="358"/>
    </row>
    <row r="140" spans="1:18" ht="91.5" x14ac:dyDescent="0.2">
      <c r="A140" s="360" t="s">
        <v>806</v>
      </c>
      <c r="B140" s="360" t="s">
        <v>71</v>
      </c>
      <c r="C140" s="360" t="s">
        <v>70</v>
      </c>
      <c r="D140" s="360" t="s">
        <v>348</v>
      </c>
      <c r="E140" s="257">
        <f>F140</f>
        <v>146300</v>
      </c>
      <c r="F140" s="249">
        <f>(49300)+97000</f>
        <v>146300</v>
      </c>
      <c r="G140" s="249"/>
      <c r="H140" s="249"/>
      <c r="I140" s="249"/>
      <c r="J140" s="359">
        <f t="shared" si="70"/>
        <v>0</v>
      </c>
      <c r="K140" s="249"/>
      <c r="L140" s="264"/>
      <c r="M140" s="264"/>
      <c r="N140" s="264"/>
      <c r="O140" s="266">
        <f t="shared" si="71"/>
        <v>0</v>
      </c>
      <c r="P140" s="359">
        <f t="shared" si="72"/>
        <v>146300</v>
      </c>
      <c r="Q140" s="146"/>
      <c r="R140" s="358"/>
    </row>
    <row r="141" spans="1:18" ht="137.25" x14ac:dyDescent="0.2">
      <c r="A141" s="360" t="s">
        <v>411</v>
      </c>
      <c r="B141" s="360" t="s">
        <v>412</v>
      </c>
      <c r="C141" s="360" t="s">
        <v>529</v>
      </c>
      <c r="D141" s="360" t="s">
        <v>413</v>
      </c>
      <c r="E141" s="257">
        <f t="shared" ref="E141:E158" si="73">F141</f>
        <v>2183600</v>
      </c>
      <c r="F141" s="249">
        <v>2183600</v>
      </c>
      <c r="G141" s="249"/>
      <c r="H141" s="249"/>
      <c r="I141" s="249"/>
      <c r="J141" s="359">
        <f t="shared" si="70"/>
        <v>4550000</v>
      </c>
      <c r="K141" s="249">
        <v>4550000</v>
      </c>
      <c r="L141" s="264"/>
      <c r="M141" s="264"/>
      <c r="N141" s="264"/>
      <c r="O141" s="266">
        <f t="shared" si="71"/>
        <v>4550000</v>
      </c>
      <c r="P141" s="359">
        <f t="shared" si="72"/>
        <v>6733600</v>
      </c>
    </row>
    <row r="142" spans="1:18" ht="137.25" x14ac:dyDescent="0.2">
      <c r="A142" s="360" t="s">
        <v>624</v>
      </c>
      <c r="B142" s="360" t="s">
        <v>625</v>
      </c>
      <c r="C142" s="360" t="s">
        <v>414</v>
      </c>
      <c r="D142" s="360" t="s">
        <v>626</v>
      </c>
      <c r="E142" s="257">
        <f t="shared" si="73"/>
        <v>29000000</v>
      </c>
      <c r="F142" s="249">
        <f>(18000000)+12000000-1000000</f>
        <v>29000000</v>
      </c>
      <c r="G142" s="249"/>
      <c r="H142" s="249"/>
      <c r="I142" s="249"/>
      <c r="J142" s="359">
        <f t="shared" si="70"/>
        <v>0</v>
      </c>
      <c r="K142" s="249"/>
      <c r="L142" s="264"/>
      <c r="M142" s="264"/>
      <c r="N142" s="264"/>
      <c r="O142" s="266">
        <f t="shared" si="71"/>
        <v>0</v>
      </c>
      <c r="P142" s="359">
        <f t="shared" si="72"/>
        <v>29000000</v>
      </c>
    </row>
    <row r="143" spans="1:18" ht="137.25" x14ac:dyDescent="0.2">
      <c r="A143" s="360" t="s">
        <v>418</v>
      </c>
      <c r="B143" s="360" t="s">
        <v>419</v>
      </c>
      <c r="C143" s="360" t="s">
        <v>414</v>
      </c>
      <c r="D143" s="360" t="s">
        <v>420</v>
      </c>
      <c r="E143" s="257">
        <f t="shared" si="73"/>
        <v>16553700</v>
      </c>
      <c r="F143" s="249">
        <f>((5553700)+5000000)+5000000+1000000</f>
        <v>16553700</v>
      </c>
      <c r="G143" s="249"/>
      <c r="H143" s="249"/>
      <c r="I143" s="249"/>
      <c r="J143" s="359">
        <f t="shared" si="70"/>
        <v>0</v>
      </c>
      <c r="K143" s="249"/>
      <c r="L143" s="264"/>
      <c r="M143" s="264"/>
      <c r="N143" s="264"/>
      <c r="O143" s="266">
        <f t="shared" si="71"/>
        <v>0</v>
      </c>
      <c r="P143" s="359">
        <f t="shared" si="72"/>
        <v>16553700</v>
      </c>
    </row>
    <row r="144" spans="1:18" ht="137.25" x14ac:dyDescent="0.2">
      <c r="A144" s="360" t="s">
        <v>441</v>
      </c>
      <c r="B144" s="360" t="s">
        <v>442</v>
      </c>
      <c r="C144" s="360" t="s">
        <v>414</v>
      </c>
      <c r="D144" s="360" t="s">
        <v>443</v>
      </c>
      <c r="E144" s="257">
        <f t="shared" si="73"/>
        <v>0</v>
      </c>
      <c r="F144" s="249"/>
      <c r="G144" s="249"/>
      <c r="H144" s="249"/>
      <c r="I144" s="249"/>
      <c r="J144" s="359">
        <f t="shared" si="70"/>
        <v>6145000</v>
      </c>
      <c r="K144" s="249">
        <f>5770000+375000</f>
        <v>6145000</v>
      </c>
      <c r="L144" s="264"/>
      <c r="M144" s="264"/>
      <c r="N144" s="264"/>
      <c r="O144" s="266">
        <f t="shared" si="71"/>
        <v>6145000</v>
      </c>
      <c r="P144" s="359">
        <f t="shared" si="72"/>
        <v>6145000</v>
      </c>
    </row>
    <row r="145" spans="1:18" ht="183" x14ac:dyDescent="0.2">
      <c r="A145" s="360" t="s">
        <v>415</v>
      </c>
      <c r="B145" s="360" t="s">
        <v>416</v>
      </c>
      <c r="C145" s="360" t="s">
        <v>414</v>
      </c>
      <c r="D145" s="360" t="s">
        <v>417</v>
      </c>
      <c r="E145" s="257">
        <f t="shared" si="73"/>
        <v>0</v>
      </c>
      <c r="F145" s="249">
        <v>0</v>
      </c>
      <c r="G145" s="249"/>
      <c r="H145" s="249"/>
      <c r="I145" s="249"/>
      <c r="J145" s="359">
        <f t="shared" si="70"/>
        <v>24331028</v>
      </c>
      <c r="K145" s="249">
        <f>((23000000)+271028+1000000)+60000</f>
        <v>24331028</v>
      </c>
      <c r="L145" s="264"/>
      <c r="M145" s="264"/>
      <c r="N145" s="264"/>
      <c r="O145" s="266">
        <f t="shared" si="71"/>
        <v>24331028</v>
      </c>
      <c r="P145" s="359">
        <f t="shared" si="72"/>
        <v>24331028</v>
      </c>
    </row>
    <row r="146" spans="1:18" ht="228.75" x14ac:dyDescent="0.2">
      <c r="A146" s="360" t="s">
        <v>435</v>
      </c>
      <c r="B146" s="360" t="s">
        <v>436</v>
      </c>
      <c r="C146" s="360" t="s">
        <v>414</v>
      </c>
      <c r="D146" s="360" t="s">
        <v>437</v>
      </c>
      <c r="E146" s="257">
        <f t="shared" si="73"/>
        <v>369575</v>
      </c>
      <c r="F146" s="249">
        <f>((370575)+100000)-101000</f>
        <v>369575</v>
      </c>
      <c r="G146" s="249"/>
      <c r="H146" s="249"/>
      <c r="I146" s="249"/>
      <c r="J146" s="359">
        <f t="shared" si="70"/>
        <v>0</v>
      </c>
      <c r="K146" s="311"/>
      <c r="L146" s="249"/>
      <c r="M146" s="249"/>
      <c r="N146" s="249"/>
      <c r="O146" s="266">
        <f t="shared" si="71"/>
        <v>0</v>
      </c>
      <c r="P146" s="359">
        <f t="shared" ref="P146:P151" si="74">E146+J146</f>
        <v>369575</v>
      </c>
    </row>
    <row r="147" spans="1:18" ht="91.5" x14ac:dyDescent="0.2">
      <c r="A147" s="360" t="s">
        <v>421</v>
      </c>
      <c r="B147" s="360" t="s">
        <v>422</v>
      </c>
      <c r="C147" s="360" t="s">
        <v>414</v>
      </c>
      <c r="D147" s="360" t="s">
        <v>423</v>
      </c>
      <c r="E147" s="257">
        <f t="shared" si="73"/>
        <v>125592225</v>
      </c>
      <c r="F147" s="249">
        <f>(119582180)+6010045</f>
        <v>125592225</v>
      </c>
      <c r="G147" s="249"/>
      <c r="H147" s="249">
        <f>((10000)+5000)+40000</f>
        <v>55000</v>
      </c>
      <c r="I147" s="249"/>
      <c r="J147" s="359">
        <f t="shared" si="70"/>
        <v>23961401</v>
      </c>
      <c r="K147" s="311">
        <f>(24145451)-184050</f>
        <v>23961401</v>
      </c>
      <c r="L147" s="249"/>
      <c r="M147" s="249"/>
      <c r="N147" s="249"/>
      <c r="O147" s="266">
        <f t="shared" si="71"/>
        <v>23961401</v>
      </c>
      <c r="P147" s="359">
        <f t="shared" si="74"/>
        <v>149553626</v>
      </c>
    </row>
    <row r="148" spans="1:18" ht="92.25" x14ac:dyDescent="0.2">
      <c r="A148" s="360" t="s">
        <v>445</v>
      </c>
      <c r="B148" s="360" t="s">
        <v>446</v>
      </c>
      <c r="C148" s="360" t="s">
        <v>444</v>
      </c>
      <c r="D148" s="360" t="s">
        <v>447</v>
      </c>
      <c r="E148" s="257">
        <f t="shared" si="73"/>
        <v>0</v>
      </c>
      <c r="F148" s="249"/>
      <c r="G148" s="249"/>
      <c r="H148" s="249"/>
      <c r="I148" s="249"/>
      <c r="J148" s="359">
        <f>L148+O148</f>
        <v>8628600</v>
      </c>
      <c r="K148" s="311">
        <f>(((18518000)-4000000-8818000)+2728600)+200000</f>
        <v>8628600</v>
      </c>
      <c r="L148" s="249"/>
      <c r="M148" s="249"/>
      <c r="N148" s="249"/>
      <c r="O148" s="266">
        <f>K148</f>
        <v>8628600</v>
      </c>
      <c r="P148" s="359">
        <f t="shared" si="74"/>
        <v>8628600</v>
      </c>
    </row>
    <row r="149" spans="1:18" ht="137.25" x14ac:dyDescent="0.2">
      <c r="A149" s="360" t="s">
        <v>830</v>
      </c>
      <c r="B149" s="360" t="s">
        <v>559</v>
      </c>
      <c r="C149" s="360" t="s">
        <v>250</v>
      </c>
      <c r="D149" s="360" t="s">
        <v>392</v>
      </c>
      <c r="E149" s="257">
        <f t="shared" si="73"/>
        <v>0</v>
      </c>
      <c r="F149" s="249"/>
      <c r="G149" s="249"/>
      <c r="H149" s="249"/>
      <c r="I149" s="249"/>
      <c r="J149" s="359">
        <f>L149+O149</f>
        <v>38028000</v>
      </c>
      <c r="K149" s="311">
        <v>38028000</v>
      </c>
      <c r="L149" s="249"/>
      <c r="M149" s="249"/>
      <c r="N149" s="249"/>
      <c r="O149" s="266">
        <f>K149</f>
        <v>38028000</v>
      </c>
      <c r="P149" s="359">
        <f t="shared" si="74"/>
        <v>38028000</v>
      </c>
    </row>
    <row r="150" spans="1:18" ht="91.5" x14ac:dyDescent="0.2">
      <c r="A150" s="360" t="s">
        <v>700</v>
      </c>
      <c r="B150" s="360" t="s">
        <v>701</v>
      </c>
      <c r="C150" s="360" t="s">
        <v>702</v>
      </c>
      <c r="D150" s="360" t="s">
        <v>703</v>
      </c>
      <c r="E150" s="257">
        <f t="shared" si="73"/>
        <v>0</v>
      </c>
      <c r="F150" s="249">
        <f>((10620634)+5767000)-16387634</f>
        <v>0</v>
      </c>
      <c r="G150" s="249"/>
      <c r="H150" s="249"/>
      <c r="I150" s="249"/>
      <c r="J150" s="359">
        <f t="shared" si="70"/>
        <v>0</v>
      </c>
      <c r="K150" s="311"/>
      <c r="L150" s="249"/>
      <c r="M150" s="249"/>
      <c r="N150" s="249"/>
      <c r="O150" s="266">
        <f t="shared" si="71"/>
        <v>0</v>
      </c>
      <c r="P150" s="359">
        <f t="shared" si="74"/>
        <v>0</v>
      </c>
    </row>
    <row r="151" spans="1:18" ht="91.5" x14ac:dyDescent="0.2">
      <c r="A151" s="360" t="s">
        <v>424</v>
      </c>
      <c r="B151" s="360" t="s">
        <v>425</v>
      </c>
      <c r="C151" s="360" t="s">
        <v>427</v>
      </c>
      <c r="D151" s="360" t="s">
        <v>426</v>
      </c>
      <c r="E151" s="257">
        <f t="shared" si="73"/>
        <v>24482535</v>
      </c>
      <c r="F151" s="249">
        <f>((16217135)+9633000)-1367600</f>
        <v>24482535</v>
      </c>
      <c r="G151" s="249"/>
      <c r="H151" s="249"/>
      <c r="I151" s="249"/>
      <c r="J151" s="359">
        <f t="shared" si="70"/>
        <v>0</v>
      </c>
      <c r="K151" s="311"/>
      <c r="L151" s="249"/>
      <c r="M151" s="249"/>
      <c r="N151" s="249"/>
      <c r="O151" s="266">
        <f t="shared" si="71"/>
        <v>0</v>
      </c>
      <c r="P151" s="359">
        <f t="shared" si="74"/>
        <v>24482535</v>
      </c>
    </row>
    <row r="152" spans="1:18" ht="228.75" x14ac:dyDescent="0.2">
      <c r="A152" s="360" t="s">
        <v>428</v>
      </c>
      <c r="B152" s="360" t="s">
        <v>429</v>
      </c>
      <c r="C152" s="360" t="s">
        <v>431</v>
      </c>
      <c r="D152" s="360" t="s">
        <v>430</v>
      </c>
      <c r="E152" s="257">
        <f t="shared" si="73"/>
        <v>66101675</v>
      </c>
      <c r="F152" s="249">
        <v>66101675</v>
      </c>
      <c r="G152" s="249"/>
      <c r="H152" s="249"/>
      <c r="I152" s="249"/>
      <c r="J152" s="359">
        <f t="shared" si="70"/>
        <v>83446710.780000001</v>
      </c>
      <c r="K152" s="249">
        <f>(82763108-570000)+3377030.11-31243.48-250000+31-1000000-500000-372000</f>
        <v>83416925.629999995</v>
      </c>
      <c r="L152" s="264"/>
      <c r="M152" s="264"/>
      <c r="N152" s="264"/>
      <c r="O152" s="266">
        <f>(K152+31243.48)-1458.33</f>
        <v>83446710.780000001</v>
      </c>
      <c r="P152" s="359">
        <f>+J152+E152</f>
        <v>149548385.78</v>
      </c>
    </row>
    <row r="153" spans="1:18" ht="228.75" x14ac:dyDescent="0.2">
      <c r="A153" s="360" t="s">
        <v>935</v>
      </c>
      <c r="B153" s="360" t="s">
        <v>936</v>
      </c>
      <c r="C153" s="360" t="s">
        <v>431</v>
      </c>
      <c r="D153" s="360" t="s">
        <v>937</v>
      </c>
      <c r="E153" s="257">
        <f t="shared" si="73"/>
        <v>0</v>
      </c>
      <c r="F153" s="249"/>
      <c r="G153" s="249"/>
      <c r="H153" s="249"/>
      <c r="I153" s="249"/>
      <c r="J153" s="359">
        <f t="shared" si="70"/>
        <v>1400000</v>
      </c>
      <c r="K153" s="249">
        <v>1400000</v>
      </c>
      <c r="L153" s="264"/>
      <c r="M153" s="264"/>
      <c r="N153" s="264"/>
      <c r="O153" s="266">
        <f>K153</f>
        <v>1400000</v>
      </c>
      <c r="P153" s="359">
        <f>+J153+E153</f>
        <v>1400000</v>
      </c>
    </row>
    <row r="154" spans="1:18" ht="46.5" x14ac:dyDescent="0.2">
      <c r="A154" s="360" t="s">
        <v>432</v>
      </c>
      <c r="B154" s="360" t="s">
        <v>311</v>
      </c>
      <c r="C154" s="360" t="s">
        <v>312</v>
      </c>
      <c r="D154" s="360" t="s">
        <v>67</v>
      </c>
      <c r="E154" s="257">
        <f t="shared" si="73"/>
        <v>550000</v>
      </c>
      <c r="F154" s="249">
        <f>(250000)+300000</f>
        <v>550000</v>
      </c>
      <c r="G154" s="249"/>
      <c r="H154" s="249"/>
      <c r="I154" s="249"/>
      <c r="J154" s="359">
        <f t="shared" si="70"/>
        <v>950000</v>
      </c>
      <c r="K154" s="311">
        <f>(1000000+250000)-300000</f>
        <v>950000</v>
      </c>
      <c r="L154" s="249"/>
      <c r="M154" s="249"/>
      <c r="N154" s="249"/>
      <c r="O154" s="266">
        <f t="shared" si="71"/>
        <v>950000</v>
      </c>
      <c r="P154" s="359">
        <f>E154+J154</f>
        <v>1500000</v>
      </c>
    </row>
    <row r="155" spans="1:18" ht="91.5" x14ac:dyDescent="0.65">
      <c r="A155" s="360" t="s">
        <v>449</v>
      </c>
      <c r="B155" s="360" t="s">
        <v>287</v>
      </c>
      <c r="C155" s="360" t="s">
        <v>250</v>
      </c>
      <c r="D155" s="360" t="s">
        <v>57</v>
      </c>
      <c r="E155" s="257">
        <f t="shared" si="73"/>
        <v>0</v>
      </c>
      <c r="F155" s="249"/>
      <c r="G155" s="249"/>
      <c r="H155" s="249"/>
      <c r="I155" s="249"/>
      <c r="J155" s="359">
        <f t="shared" si="70"/>
        <v>49277392.68</v>
      </c>
      <c r="K155" s="311">
        <f>(41440992.68)+836400+7000000</f>
        <v>49277392.68</v>
      </c>
      <c r="L155" s="249"/>
      <c r="M155" s="249"/>
      <c r="N155" s="249"/>
      <c r="O155" s="266">
        <f t="shared" si="71"/>
        <v>49277392.68</v>
      </c>
      <c r="P155" s="359">
        <f>E155+J155</f>
        <v>49277392.68</v>
      </c>
      <c r="Q155" s="157"/>
    </row>
    <row r="156" spans="1:18" ht="409.5" x14ac:dyDescent="0.2">
      <c r="A156" s="476" t="s">
        <v>724</v>
      </c>
      <c r="B156" s="476" t="s">
        <v>525</v>
      </c>
      <c r="C156" s="476" t="s">
        <v>250</v>
      </c>
      <c r="D156" s="267" t="s">
        <v>536</v>
      </c>
      <c r="E156" s="486">
        <f t="shared" si="73"/>
        <v>0</v>
      </c>
      <c r="F156" s="482"/>
      <c r="G156" s="482"/>
      <c r="H156" s="482"/>
      <c r="I156" s="482"/>
      <c r="J156" s="488">
        <f t="shared" si="70"/>
        <v>1001137</v>
      </c>
      <c r="K156" s="482"/>
      <c r="L156" s="482">
        <f>(1424137)-423000</f>
        <v>1001137</v>
      </c>
      <c r="M156" s="482"/>
      <c r="N156" s="482"/>
      <c r="O156" s="493">
        <f>K156+0</f>
        <v>0</v>
      </c>
      <c r="P156" s="486">
        <f>E156+J156</f>
        <v>1001137</v>
      </c>
      <c r="Q156" s="217">
        <f>P156</f>
        <v>1001137</v>
      </c>
    </row>
    <row r="157" spans="1:18" ht="137.25" x14ac:dyDescent="0.65">
      <c r="A157" s="513"/>
      <c r="B157" s="513"/>
      <c r="C157" s="513"/>
      <c r="D157" s="268" t="s">
        <v>537</v>
      </c>
      <c r="E157" s="512"/>
      <c r="F157" s="496"/>
      <c r="G157" s="496"/>
      <c r="H157" s="496"/>
      <c r="I157" s="496"/>
      <c r="J157" s="497"/>
      <c r="K157" s="496"/>
      <c r="L157" s="496"/>
      <c r="M157" s="496"/>
      <c r="N157" s="496"/>
      <c r="O157" s="508"/>
      <c r="P157" s="512"/>
      <c r="Q157" s="157"/>
    </row>
    <row r="158" spans="1:18" ht="91.5" x14ac:dyDescent="0.2">
      <c r="A158" s="360" t="s">
        <v>379</v>
      </c>
      <c r="B158" s="360" t="s">
        <v>380</v>
      </c>
      <c r="C158" s="360" t="s">
        <v>381</v>
      </c>
      <c r="D158" s="360" t="s">
        <v>378</v>
      </c>
      <c r="E158" s="257">
        <f t="shared" si="73"/>
        <v>1278010</v>
      </c>
      <c r="F158" s="249">
        <f>(1250990)+27020</f>
        <v>1278010</v>
      </c>
      <c r="G158" s="249">
        <f>(843750+143550)+31848</f>
        <v>1019148</v>
      </c>
      <c r="H158" s="249">
        <v>12600</v>
      </c>
      <c r="I158" s="249"/>
      <c r="J158" s="359">
        <f>L158+O158</f>
        <v>0</v>
      </c>
      <c r="K158" s="311"/>
      <c r="L158" s="249"/>
      <c r="M158" s="249"/>
      <c r="N158" s="249"/>
      <c r="O158" s="266">
        <f>K158</f>
        <v>0</v>
      </c>
      <c r="P158" s="359">
        <f>E158+J158</f>
        <v>1278010</v>
      </c>
    </row>
    <row r="159" spans="1:18" ht="315" x14ac:dyDescent="0.2">
      <c r="A159" s="327" t="s">
        <v>44</v>
      </c>
      <c r="B159" s="327"/>
      <c r="C159" s="327"/>
      <c r="D159" s="328" t="s">
        <v>619</v>
      </c>
      <c r="E159" s="329">
        <f>E160</f>
        <v>2908890</v>
      </c>
      <c r="F159" s="329">
        <f t="shared" ref="F159:G159" si="75">F160</f>
        <v>2908890</v>
      </c>
      <c r="G159" s="329">
        <f t="shared" si="75"/>
        <v>1871300</v>
      </c>
      <c r="H159" s="329">
        <f>H160</f>
        <v>56240</v>
      </c>
      <c r="I159" s="329">
        <f t="shared" ref="I159" si="76">I160</f>
        <v>0</v>
      </c>
      <c r="J159" s="329">
        <f>J160</f>
        <v>112071080</v>
      </c>
      <c r="K159" s="329">
        <f>K160</f>
        <v>112071080</v>
      </c>
      <c r="L159" s="329">
        <f>L160</f>
        <v>0</v>
      </c>
      <c r="M159" s="329">
        <f t="shared" ref="M159" si="77">M160</f>
        <v>0</v>
      </c>
      <c r="N159" s="329">
        <f>N160</f>
        <v>0</v>
      </c>
      <c r="O159" s="329">
        <f>O160</f>
        <v>112071080</v>
      </c>
      <c r="P159" s="329">
        <f t="shared" ref="P159" si="78">P160</f>
        <v>114979970</v>
      </c>
    </row>
    <row r="160" spans="1:18" ht="270" x14ac:dyDescent="0.2">
      <c r="A160" s="324" t="s">
        <v>45</v>
      </c>
      <c r="B160" s="324"/>
      <c r="C160" s="324"/>
      <c r="D160" s="325" t="s">
        <v>618</v>
      </c>
      <c r="E160" s="326">
        <f>SUM(E161:E167)</f>
        <v>2908890</v>
      </c>
      <c r="F160" s="326">
        <f t="shared" ref="F160:O160" si="79">SUM(F161:F167)</f>
        <v>2908890</v>
      </c>
      <c r="G160" s="326">
        <f t="shared" si="79"/>
        <v>1871300</v>
      </c>
      <c r="H160" s="326">
        <f t="shared" si="79"/>
        <v>56240</v>
      </c>
      <c r="I160" s="326">
        <f t="shared" si="79"/>
        <v>0</v>
      </c>
      <c r="J160" s="326">
        <f t="shared" ref="J160:J167" si="80">L160+O160</f>
        <v>112071080</v>
      </c>
      <c r="K160" s="326">
        <f t="shared" si="79"/>
        <v>112071080</v>
      </c>
      <c r="L160" s="326">
        <f t="shared" si="79"/>
        <v>0</v>
      </c>
      <c r="M160" s="326">
        <f t="shared" si="79"/>
        <v>0</v>
      </c>
      <c r="N160" s="326">
        <f t="shared" si="79"/>
        <v>0</v>
      </c>
      <c r="O160" s="326">
        <f t="shared" si="79"/>
        <v>112071080</v>
      </c>
      <c r="P160" s="326">
        <f t="shared" ref="P160:P167" si="81">E160+J160</f>
        <v>114979970</v>
      </c>
      <c r="Q160" s="146" t="b">
        <f>P160=P164+P165+P166+P161+P162+P167+P163</f>
        <v>1</v>
      </c>
      <c r="R160" s="358" t="b">
        <f>K160='d5'!I157</f>
        <v>0</v>
      </c>
    </row>
    <row r="161" spans="1:18" ht="228.75" x14ac:dyDescent="0.2">
      <c r="A161" s="360" t="s">
        <v>713</v>
      </c>
      <c r="B161" s="360" t="s">
        <v>335</v>
      </c>
      <c r="C161" s="360" t="s">
        <v>333</v>
      </c>
      <c r="D161" s="360" t="s">
        <v>334</v>
      </c>
      <c r="E161" s="359">
        <f>F161</f>
        <v>2513040</v>
      </c>
      <c r="F161" s="311">
        <f>((2696500)-289700+55000)+95000+16000-16000-43760</f>
        <v>2513040</v>
      </c>
      <c r="G161" s="311">
        <f>(1776300)+95000</f>
        <v>1871300</v>
      </c>
      <c r="H161" s="311">
        <f>(100000)-43760</f>
        <v>56240</v>
      </c>
      <c r="I161" s="311"/>
      <c r="J161" s="359">
        <f t="shared" si="80"/>
        <v>17880</v>
      </c>
      <c r="K161" s="311">
        <f>(10400)+7480</f>
        <v>17880</v>
      </c>
      <c r="L161" s="311"/>
      <c r="M161" s="311"/>
      <c r="N161" s="311"/>
      <c r="O161" s="266">
        <f>K161</f>
        <v>17880</v>
      </c>
      <c r="P161" s="359">
        <f t="shared" si="81"/>
        <v>2530920</v>
      </c>
      <c r="Q161" s="146"/>
      <c r="R161" s="358" t="b">
        <f>K161='d5'!I158</f>
        <v>0</v>
      </c>
    </row>
    <row r="162" spans="1:18" ht="91.5" x14ac:dyDescent="0.2">
      <c r="A162" s="360" t="s">
        <v>804</v>
      </c>
      <c r="B162" s="360" t="s">
        <v>71</v>
      </c>
      <c r="C162" s="360" t="s">
        <v>70</v>
      </c>
      <c r="D162" s="360" t="s">
        <v>348</v>
      </c>
      <c r="E162" s="359">
        <f>F162</f>
        <v>395850</v>
      </c>
      <c r="F162" s="311">
        <f>(289700+266000)-140000-19850</f>
        <v>395850</v>
      </c>
      <c r="G162" s="311"/>
      <c r="H162" s="311"/>
      <c r="I162" s="311"/>
      <c r="J162" s="359">
        <f t="shared" si="80"/>
        <v>0</v>
      </c>
      <c r="K162" s="311"/>
      <c r="L162" s="311"/>
      <c r="M162" s="311"/>
      <c r="N162" s="311"/>
      <c r="O162" s="266">
        <f t="shared" ref="O162:O163" si="82">K162</f>
        <v>0</v>
      </c>
      <c r="P162" s="359">
        <f t="shared" si="81"/>
        <v>395850</v>
      </c>
      <c r="Q162" s="146"/>
      <c r="R162" s="358"/>
    </row>
    <row r="163" spans="1:18" ht="320.25" x14ac:dyDescent="0.2">
      <c r="A163" s="360" t="s">
        <v>808</v>
      </c>
      <c r="B163" s="360" t="s">
        <v>810</v>
      </c>
      <c r="C163" s="360" t="s">
        <v>285</v>
      </c>
      <c r="D163" s="360" t="s">
        <v>809</v>
      </c>
      <c r="E163" s="359">
        <f t="shared" ref="E163:E165" si="83">F163</f>
        <v>0</v>
      </c>
      <c r="F163" s="311"/>
      <c r="G163" s="311"/>
      <c r="H163" s="311"/>
      <c r="I163" s="311"/>
      <c r="J163" s="359">
        <f t="shared" si="80"/>
        <v>42787000</v>
      </c>
      <c r="K163" s="311">
        <f>(55287000)-12500000</f>
        <v>42787000</v>
      </c>
      <c r="L163" s="311"/>
      <c r="M163" s="311"/>
      <c r="N163" s="311"/>
      <c r="O163" s="266">
        <f t="shared" si="82"/>
        <v>42787000</v>
      </c>
      <c r="P163" s="359">
        <f t="shared" si="81"/>
        <v>42787000</v>
      </c>
      <c r="Q163" s="146"/>
      <c r="R163" s="358"/>
    </row>
    <row r="164" spans="1:18" ht="91.5" x14ac:dyDescent="0.2">
      <c r="A164" s="360" t="s">
        <v>463</v>
      </c>
      <c r="B164" s="360" t="s">
        <v>464</v>
      </c>
      <c r="C164" s="360" t="s">
        <v>444</v>
      </c>
      <c r="D164" s="360" t="s">
        <v>462</v>
      </c>
      <c r="E164" s="359">
        <f t="shared" si="83"/>
        <v>0</v>
      </c>
      <c r="F164" s="311"/>
      <c r="G164" s="311"/>
      <c r="H164" s="311"/>
      <c r="I164" s="311"/>
      <c r="J164" s="359">
        <f t="shared" si="80"/>
        <v>23900000</v>
      </c>
      <c r="K164" s="311">
        <f>(19400000)+4500000</f>
        <v>23900000</v>
      </c>
      <c r="L164" s="311"/>
      <c r="M164" s="311"/>
      <c r="N164" s="311"/>
      <c r="O164" s="266">
        <f>K164</f>
        <v>23900000</v>
      </c>
      <c r="P164" s="359">
        <f t="shared" si="81"/>
        <v>23900000</v>
      </c>
    </row>
    <row r="165" spans="1:18" ht="137.25" x14ac:dyDescent="0.2">
      <c r="A165" s="360" t="s">
        <v>465</v>
      </c>
      <c r="B165" s="360" t="s">
        <v>466</v>
      </c>
      <c r="C165" s="360" t="s">
        <v>444</v>
      </c>
      <c r="D165" s="360" t="s">
        <v>467</v>
      </c>
      <c r="E165" s="359">
        <f t="shared" si="83"/>
        <v>0</v>
      </c>
      <c r="F165" s="311"/>
      <c r="G165" s="311"/>
      <c r="H165" s="311"/>
      <c r="I165" s="311"/>
      <c r="J165" s="359">
        <f t="shared" si="80"/>
        <v>950000</v>
      </c>
      <c r="K165" s="311">
        <f>((4500000+1400000-4500000)-900000)+450000</f>
        <v>950000</v>
      </c>
      <c r="L165" s="311"/>
      <c r="M165" s="311"/>
      <c r="N165" s="311"/>
      <c r="O165" s="266">
        <f>K165</f>
        <v>950000</v>
      </c>
      <c r="P165" s="359">
        <f t="shared" si="81"/>
        <v>950000</v>
      </c>
    </row>
    <row r="166" spans="1:18" ht="91.5" x14ac:dyDescent="0.2">
      <c r="A166" s="360" t="s">
        <v>468</v>
      </c>
      <c r="B166" s="360" t="s">
        <v>469</v>
      </c>
      <c r="C166" s="360" t="s">
        <v>444</v>
      </c>
      <c r="D166" s="360" t="s">
        <v>815</v>
      </c>
      <c r="E166" s="359">
        <f>F166</f>
        <v>0</v>
      </c>
      <c r="F166" s="311"/>
      <c r="G166" s="311"/>
      <c r="H166" s="311"/>
      <c r="I166" s="311"/>
      <c r="J166" s="359">
        <f t="shared" si="80"/>
        <v>17216200</v>
      </c>
      <c r="K166" s="311">
        <f>((11500000+1666200)-2000000)+6050000</f>
        <v>17216200</v>
      </c>
      <c r="L166" s="311"/>
      <c r="M166" s="311"/>
      <c r="N166" s="311"/>
      <c r="O166" s="266">
        <f>K166</f>
        <v>17216200</v>
      </c>
      <c r="P166" s="359">
        <f t="shared" si="81"/>
        <v>17216200</v>
      </c>
    </row>
    <row r="167" spans="1:18" ht="137.25" x14ac:dyDescent="0.2">
      <c r="A167" s="360" t="s">
        <v>903</v>
      </c>
      <c r="B167" s="360" t="s">
        <v>559</v>
      </c>
      <c r="C167" s="360" t="s">
        <v>250</v>
      </c>
      <c r="D167" s="360" t="s">
        <v>392</v>
      </c>
      <c r="E167" s="359">
        <f>F167</f>
        <v>0</v>
      </c>
      <c r="F167" s="311"/>
      <c r="G167" s="311"/>
      <c r="H167" s="311"/>
      <c r="I167" s="311"/>
      <c r="J167" s="359">
        <f t="shared" si="80"/>
        <v>27200000</v>
      </c>
      <c r="K167" s="311">
        <f>(25700000)+1500000</f>
        <v>27200000</v>
      </c>
      <c r="L167" s="311"/>
      <c r="M167" s="311"/>
      <c r="N167" s="311"/>
      <c r="O167" s="266">
        <f>K167</f>
        <v>27200000</v>
      </c>
      <c r="P167" s="359">
        <f t="shared" si="81"/>
        <v>27200000</v>
      </c>
    </row>
    <row r="168" spans="1:18" ht="270" x14ac:dyDescent="0.2">
      <c r="A168" s="327" t="s">
        <v>240</v>
      </c>
      <c r="B168" s="327"/>
      <c r="C168" s="327"/>
      <c r="D168" s="328" t="s">
        <v>46</v>
      </c>
      <c r="E168" s="329">
        <f>E169</f>
        <v>4114580</v>
      </c>
      <c r="F168" s="329">
        <f t="shared" ref="F168:G168" si="84">F169</f>
        <v>4114580</v>
      </c>
      <c r="G168" s="329">
        <f t="shared" si="84"/>
        <v>2803780</v>
      </c>
      <c r="H168" s="329">
        <f>H169</f>
        <v>107000</v>
      </c>
      <c r="I168" s="329">
        <f t="shared" ref="I168" si="85">I169</f>
        <v>0</v>
      </c>
      <c r="J168" s="329">
        <f>J169</f>
        <v>96500</v>
      </c>
      <c r="K168" s="329">
        <f>K169</f>
        <v>96500</v>
      </c>
      <c r="L168" s="329">
        <f>L169</f>
        <v>0</v>
      </c>
      <c r="M168" s="329">
        <f t="shared" ref="M168" si="86">M169</f>
        <v>0</v>
      </c>
      <c r="N168" s="329">
        <f>N169</f>
        <v>0</v>
      </c>
      <c r="O168" s="329">
        <f>O169</f>
        <v>96500</v>
      </c>
      <c r="P168" s="329">
        <f t="shared" ref="P168" si="87">P169</f>
        <v>4211080</v>
      </c>
    </row>
    <row r="169" spans="1:18" ht="270" x14ac:dyDescent="0.2">
      <c r="A169" s="324" t="s">
        <v>241</v>
      </c>
      <c r="B169" s="324"/>
      <c r="C169" s="324"/>
      <c r="D169" s="325" t="s">
        <v>64</v>
      </c>
      <c r="E169" s="326">
        <f>SUM(E170:E172)</f>
        <v>4114580</v>
      </c>
      <c r="F169" s="326">
        <f t="shared" ref="F169:O169" si="88">SUM(F170:F172)</f>
        <v>4114580</v>
      </c>
      <c r="G169" s="326">
        <f t="shared" si="88"/>
        <v>2803780</v>
      </c>
      <c r="H169" s="326">
        <f t="shared" si="88"/>
        <v>107000</v>
      </c>
      <c r="I169" s="326">
        <f t="shared" si="88"/>
        <v>0</v>
      </c>
      <c r="J169" s="326">
        <f>L169+O169</f>
        <v>96500</v>
      </c>
      <c r="K169" s="326">
        <f t="shared" si="88"/>
        <v>96500</v>
      </c>
      <c r="L169" s="326">
        <f t="shared" si="88"/>
        <v>0</v>
      </c>
      <c r="M169" s="326">
        <f t="shared" si="88"/>
        <v>0</v>
      </c>
      <c r="N169" s="326">
        <f t="shared" si="88"/>
        <v>0</v>
      </c>
      <c r="O169" s="326">
        <f t="shared" si="88"/>
        <v>96500</v>
      </c>
      <c r="P169" s="326">
        <f>E169+J169</f>
        <v>4211080</v>
      </c>
      <c r="Q169" s="146" t="b">
        <f>P169=P172+P170+P171</f>
        <v>1</v>
      </c>
      <c r="R169" s="358" t="b">
        <f>K169='d5'!I180</f>
        <v>0</v>
      </c>
    </row>
    <row r="170" spans="1:18" ht="228.75" x14ac:dyDescent="0.2">
      <c r="A170" s="360" t="s">
        <v>715</v>
      </c>
      <c r="B170" s="360" t="s">
        <v>335</v>
      </c>
      <c r="C170" s="360" t="s">
        <v>333</v>
      </c>
      <c r="D170" s="360" t="s">
        <v>334</v>
      </c>
      <c r="E170" s="359">
        <f>F170</f>
        <v>3915980</v>
      </c>
      <c r="F170" s="311">
        <f>((3880500)+55000)-46920+27400</f>
        <v>3915980</v>
      </c>
      <c r="G170" s="311">
        <f>(2850700)-46920</f>
        <v>2803780</v>
      </c>
      <c r="H170" s="311">
        <v>107000</v>
      </c>
      <c r="I170" s="311"/>
      <c r="J170" s="359">
        <f>L170+O170</f>
        <v>26500</v>
      </c>
      <c r="K170" s="311">
        <v>26500</v>
      </c>
      <c r="L170" s="311"/>
      <c r="M170" s="311"/>
      <c r="N170" s="311"/>
      <c r="O170" s="266">
        <f>K170</f>
        <v>26500</v>
      </c>
      <c r="P170" s="359">
        <f>E170+J170</f>
        <v>3942480</v>
      </c>
      <c r="Q170" s="146"/>
      <c r="R170" s="358" t="b">
        <f>K170='d5'!I183</f>
        <v>0</v>
      </c>
    </row>
    <row r="171" spans="1:18" ht="91.5" x14ac:dyDescent="0.2">
      <c r="A171" s="360" t="s">
        <v>946</v>
      </c>
      <c r="B171" s="360" t="s">
        <v>71</v>
      </c>
      <c r="C171" s="360" t="s">
        <v>70</v>
      </c>
      <c r="D171" s="360" t="s">
        <v>348</v>
      </c>
      <c r="E171" s="359">
        <f t="shared" ref="E171" si="89">F171</f>
        <v>198600</v>
      </c>
      <c r="F171" s="311">
        <v>198600</v>
      </c>
      <c r="G171" s="311"/>
      <c r="H171" s="311"/>
      <c r="I171" s="311"/>
      <c r="J171" s="359">
        <f t="shared" ref="J171" si="90">L171+O171</f>
        <v>0</v>
      </c>
      <c r="K171" s="311"/>
      <c r="L171" s="311"/>
      <c r="M171" s="311"/>
      <c r="N171" s="311"/>
      <c r="O171" s="266">
        <f>K171</f>
        <v>0</v>
      </c>
      <c r="P171" s="359">
        <f>E171+J171</f>
        <v>198600</v>
      </c>
      <c r="Q171" s="345"/>
      <c r="R171" s="358"/>
    </row>
    <row r="172" spans="1:18" ht="137.25" x14ac:dyDescent="0.2">
      <c r="A172" s="360" t="s">
        <v>454</v>
      </c>
      <c r="B172" s="360" t="s">
        <v>455</v>
      </c>
      <c r="C172" s="360" t="s">
        <v>444</v>
      </c>
      <c r="D172" s="360" t="s">
        <v>456</v>
      </c>
      <c r="E172" s="359">
        <f>F172</f>
        <v>0</v>
      </c>
      <c r="F172" s="311">
        <v>0</v>
      </c>
      <c r="G172" s="311"/>
      <c r="H172" s="311"/>
      <c r="I172" s="311"/>
      <c r="J172" s="359">
        <f>L172+O172</f>
        <v>70000</v>
      </c>
      <c r="K172" s="311">
        <f>((2000000)-1500000)-500000+70000</f>
        <v>70000</v>
      </c>
      <c r="L172" s="311"/>
      <c r="M172" s="311"/>
      <c r="N172" s="311"/>
      <c r="O172" s="266">
        <f>K172</f>
        <v>70000</v>
      </c>
      <c r="P172" s="359">
        <f>E172+J172</f>
        <v>70000</v>
      </c>
      <c r="Q172" s="346" t="s">
        <v>982</v>
      </c>
    </row>
    <row r="173" spans="1:18" ht="135" x14ac:dyDescent="0.2">
      <c r="A173" s="327" t="s">
        <v>246</v>
      </c>
      <c r="B173" s="327"/>
      <c r="C173" s="327"/>
      <c r="D173" s="328" t="s">
        <v>563</v>
      </c>
      <c r="E173" s="329">
        <f>E174</f>
        <v>7200430.4800000004</v>
      </c>
      <c r="F173" s="329">
        <f t="shared" ref="F173:G173" si="91">F174</f>
        <v>7200430.4800000004</v>
      </c>
      <c r="G173" s="329">
        <f t="shared" si="91"/>
        <v>0</v>
      </c>
      <c r="H173" s="329">
        <f>H174</f>
        <v>0</v>
      </c>
      <c r="I173" s="329">
        <f t="shared" ref="I173" si="92">I174</f>
        <v>0</v>
      </c>
      <c r="J173" s="329">
        <f>J174</f>
        <v>2354114.52</v>
      </c>
      <c r="K173" s="329">
        <f>K174</f>
        <v>2354114.52</v>
      </c>
      <c r="L173" s="329">
        <f>L174</f>
        <v>0</v>
      </c>
      <c r="M173" s="329">
        <f t="shared" ref="M173" si="93">M174</f>
        <v>0</v>
      </c>
      <c r="N173" s="329">
        <f>N174</f>
        <v>0</v>
      </c>
      <c r="O173" s="329">
        <f>O174</f>
        <v>2354114.52</v>
      </c>
      <c r="P173" s="329">
        <f t="shared" ref="P173" si="94">P174</f>
        <v>9554545</v>
      </c>
    </row>
    <row r="174" spans="1:18" ht="135" x14ac:dyDescent="0.2">
      <c r="A174" s="324" t="s">
        <v>247</v>
      </c>
      <c r="B174" s="324"/>
      <c r="C174" s="324"/>
      <c r="D174" s="325" t="s">
        <v>564</v>
      </c>
      <c r="E174" s="326">
        <f>SUM(E175:E179)</f>
        <v>7200430.4800000004</v>
      </c>
      <c r="F174" s="326">
        <f t="shared" ref="F174:O174" si="95">SUM(F175:F179)</f>
        <v>7200430.4800000004</v>
      </c>
      <c r="G174" s="326">
        <f t="shared" si="95"/>
        <v>0</v>
      </c>
      <c r="H174" s="326">
        <f t="shared" si="95"/>
        <v>0</v>
      </c>
      <c r="I174" s="326">
        <f t="shared" si="95"/>
        <v>0</v>
      </c>
      <c r="J174" s="326">
        <f t="shared" ref="J174:J179" si="96">L174+O174</f>
        <v>2354114.52</v>
      </c>
      <c r="K174" s="326">
        <f t="shared" si="95"/>
        <v>2354114.52</v>
      </c>
      <c r="L174" s="326">
        <f t="shared" si="95"/>
        <v>0</v>
      </c>
      <c r="M174" s="326">
        <f t="shared" si="95"/>
        <v>0</v>
      </c>
      <c r="N174" s="326">
        <f t="shared" si="95"/>
        <v>0</v>
      </c>
      <c r="O174" s="326">
        <f t="shared" si="95"/>
        <v>2354114.52</v>
      </c>
      <c r="P174" s="326">
        <f t="shared" ref="P174:P179" si="97">E174+J174</f>
        <v>9554545</v>
      </c>
      <c r="Q174" s="146" t="b">
        <f>P174=P175+P176+P177+P178+P179</f>
        <v>1</v>
      </c>
      <c r="R174" s="358" t="b">
        <f>K174='d5'!I187</f>
        <v>1</v>
      </c>
    </row>
    <row r="175" spans="1:18" ht="137.25" hidden="1" x14ac:dyDescent="0.2">
      <c r="A175" s="251" t="s">
        <v>558</v>
      </c>
      <c r="B175" s="251" t="s">
        <v>559</v>
      </c>
      <c r="C175" s="251" t="s">
        <v>250</v>
      </c>
      <c r="D175" s="251" t="s">
        <v>392</v>
      </c>
      <c r="E175" s="318">
        <f>F175</f>
        <v>0</v>
      </c>
      <c r="F175" s="316"/>
      <c r="G175" s="316"/>
      <c r="H175" s="316"/>
      <c r="I175" s="316"/>
      <c r="J175" s="318">
        <f t="shared" si="96"/>
        <v>0</v>
      </c>
      <c r="K175" s="316">
        <f>(2000000)-2000000</f>
        <v>0</v>
      </c>
      <c r="L175" s="316"/>
      <c r="M175" s="316"/>
      <c r="N175" s="316"/>
      <c r="O175" s="323">
        <f>K175</f>
        <v>0</v>
      </c>
      <c r="P175" s="318">
        <f t="shared" si="97"/>
        <v>0</v>
      </c>
      <c r="R175" s="358"/>
    </row>
    <row r="176" spans="1:18" ht="91.5" x14ac:dyDescent="0.2">
      <c r="A176" s="360" t="s">
        <v>390</v>
      </c>
      <c r="B176" s="360" t="s">
        <v>391</v>
      </c>
      <c r="C176" s="360" t="s">
        <v>389</v>
      </c>
      <c r="D176" s="360" t="s">
        <v>388</v>
      </c>
      <c r="E176" s="359">
        <f t="shared" ref="E176:E179" si="98">F176</f>
        <v>4394349.4800000004</v>
      </c>
      <c r="F176" s="311">
        <f>(((2656650)+828350-240000+40000)-37350.52-100000)+1146700+100000</f>
        <v>4394349.4800000004</v>
      </c>
      <c r="G176" s="311"/>
      <c r="H176" s="311"/>
      <c r="I176" s="311"/>
      <c r="J176" s="359">
        <f t="shared" si="96"/>
        <v>870000</v>
      </c>
      <c r="K176" s="311">
        <f>(((570000)+200000)+100000)</f>
        <v>870000</v>
      </c>
      <c r="L176" s="311"/>
      <c r="M176" s="311"/>
      <c r="N176" s="311"/>
      <c r="O176" s="266">
        <f>K176</f>
        <v>870000</v>
      </c>
      <c r="P176" s="359">
        <f t="shared" si="97"/>
        <v>5264349.4800000004</v>
      </c>
      <c r="R176" s="358" t="b">
        <f>K176='d5'!I189</f>
        <v>1</v>
      </c>
    </row>
    <row r="177" spans="1:18" ht="137.25" x14ac:dyDescent="0.2">
      <c r="A177" s="360" t="s">
        <v>382</v>
      </c>
      <c r="B177" s="360" t="s">
        <v>384</v>
      </c>
      <c r="C177" s="360" t="s">
        <v>312</v>
      </c>
      <c r="D177" s="360" t="s">
        <v>383</v>
      </c>
      <c r="E177" s="359">
        <f t="shared" si="98"/>
        <v>320000</v>
      </c>
      <c r="F177" s="311">
        <f>(420000)-100000</f>
        <v>320000</v>
      </c>
      <c r="G177" s="311"/>
      <c r="H177" s="311"/>
      <c r="I177" s="311"/>
      <c r="J177" s="359">
        <f t="shared" si="96"/>
        <v>0</v>
      </c>
      <c r="K177" s="311"/>
      <c r="L177" s="311"/>
      <c r="M177" s="311"/>
      <c r="N177" s="311"/>
      <c r="O177" s="266">
        <f>K177</f>
        <v>0</v>
      </c>
      <c r="P177" s="359">
        <f t="shared" si="97"/>
        <v>320000</v>
      </c>
      <c r="R177" s="358"/>
    </row>
    <row r="178" spans="1:18" ht="91.5" x14ac:dyDescent="0.2">
      <c r="A178" s="360" t="s">
        <v>386</v>
      </c>
      <c r="B178" s="360" t="s">
        <v>387</v>
      </c>
      <c r="C178" s="360" t="s">
        <v>250</v>
      </c>
      <c r="D178" s="360" t="s">
        <v>385</v>
      </c>
      <c r="E178" s="359">
        <f t="shared" si="98"/>
        <v>2486081</v>
      </c>
      <c r="F178" s="311">
        <f>(((1794000)+800000-100000)+37350.52-129155)+46885.48+37000</f>
        <v>2486081</v>
      </c>
      <c r="G178" s="311"/>
      <c r="H178" s="311"/>
      <c r="I178" s="311"/>
      <c r="J178" s="359">
        <f t="shared" si="96"/>
        <v>184114.52</v>
      </c>
      <c r="K178" s="311">
        <f>(200000+1000000-1000000)-46885.48+31000</f>
        <v>184114.52</v>
      </c>
      <c r="L178" s="311"/>
      <c r="M178" s="311"/>
      <c r="N178" s="311"/>
      <c r="O178" s="266">
        <f>K178</f>
        <v>184114.52</v>
      </c>
      <c r="P178" s="359">
        <f t="shared" si="97"/>
        <v>2670195.52</v>
      </c>
      <c r="R178" s="358" t="b">
        <f>K178='d5'!I190</f>
        <v>1</v>
      </c>
    </row>
    <row r="179" spans="1:18" ht="91.5" x14ac:dyDescent="0.2">
      <c r="A179" s="360" t="s">
        <v>886</v>
      </c>
      <c r="B179" s="360" t="s">
        <v>587</v>
      </c>
      <c r="C179" s="360" t="s">
        <v>71</v>
      </c>
      <c r="D179" s="360" t="s">
        <v>588</v>
      </c>
      <c r="E179" s="359">
        <f t="shared" si="98"/>
        <v>0</v>
      </c>
      <c r="F179" s="311"/>
      <c r="G179" s="311"/>
      <c r="H179" s="311"/>
      <c r="I179" s="311"/>
      <c r="J179" s="359">
        <f t="shared" si="96"/>
        <v>1300000</v>
      </c>
      <c r="K179" s="311">
        <f>500000+1000000-1000000+800000</f>
        <v>1300000</v>
      </c>
      <c r="L179" s="311"/>
      <c r="M179" s="311"/>
      <c r="N179" s="311"/>
      <c r="O179" s="266">
        <f>K179</f>
        <v>1300000</v>
      </c>
      <c r="P179" s="359">
        <f t="shared" si="97"/>
        <v>1300000</v>
      </c>
      <c r="R179" s="358" t="b">
        <f>K179='d5'!I192+'d5'!I191</f>
        <v>1</v>
      </c>
    </row>
    <row r="180" spans="1:18" ht="180" x14ac:dyDescent="0.2">
      <c r="A180" s="327" t="s">
        <v>244</v>
      </c>
      <c r="B180" s="327"/>
      <c r="C180" s="327"/>
      <c r="D180" s="328" t="s">
        <v>47</v>
      </c>
      <c r="E180" s="329">
        <f>E181</f>
        <v>4258100</v>
      </c>
      <c r="F180" s="329">
        <f t="shared" ref="F180:G180" si="99">F181</f>
        <v>4258100</v>
      </c>
      <c r="G180" s="329">
        <f t="shared" si="99"/>
        <v>3166500</v>
      </c>
      <c r="H180" s="329">
        <f>H181</f>
        <v>119916</v>
      </c>
      <c r="I180" s="329">
        <f t="shared" ref="I180" si="100">I181</f>
        <v>0</v>
      </c>
      <c r="J180" s="329">
        <f>J181</f>
        <v>990905.96</v>
      </c>
      <c r="K180" s="329">
        <f>K181</f>
        <v>0</v>
      </c>
      <c r="L180" s="329">
        <f>L181</f>
        <v>408505.96</v>
      </c>
      <c r="M180" s="329">
        <f t="shared" ref="M180" si="101">M181</f>
        <v>0</v>
      </c>
      <c r="N180" s="329">
        <f>N181</f>
        <v>0</v>
      </c>
      <c r="O180" s="329">
        <f>O181</f>
        <v>582400</v>
      </c>
      <c r="P180" s="329">
        <f t="shared" ref="P180" si="102">P181</f>
        <v>5249005.96</v>
      </c>
    </row>
    <row r="181" spans="1:18" ht="180" x14ac:dyDescent="0.2">
      <c r="A181" s="324" t="s">
        <v>245</v>
      </c>
      <c r="B181" s="324"/>
      <c r="C181" s="324"/>
      <c r="D181" s="325" t="s">
        <v>65</v>
      </c>
      <c r="E181" s="326">
        <f t="shared" ref="E181:N181" si="103">SUM(E182:E185)</f>
        <v>4258100</v>
      </c>
      <c r="F181" s="326">
        <f t="shared" si="103"/>
        <v>4258100</v>
      </c>
      <c r="G181" s="326">
        <f t="shared" si="103"/>
        <v>3166500</v>
      </c>
      <c r="H181" s="326">
        <f t="shared" si="103"/>
        <v>119916</v>
      </c>
      <c r="I181" s="326">
        <f t="shared" si="103"/>
        <v>0</v>
      </c>
      <c r="J181" s="326">
        <f>L181+O181</f>
        <v>990905.96</v>
      </c>
      <c r="K181" s="326">
        <f t="shared" si="103"/>
        <v>0</v>
      </c>
      <c r="L181" s="326">
        <f t="shared" si="103"/>
        <v>408505.96</v>
      </c>
      <c r="M181" s="326">
        <f t="shared" si="103"/>
        <v>0</v>
      </c>
      <c r="N181" s="326">
        <f t="shared" si="103"/>
        <v>0</v>
      </c>
      <c r="O181" s="326">
        <f>SUM(O182:O185)</f>
        <v>582400</v>
      </c>
      <c r="P181" s="326">
        <f>E181+J181</f>
        <v>5249005.96</v>
      </c>
      <c r="Q181" s="146" t="b">
        <f>P181=P183+P185+P182+P184</f>
        <v>1</v>
      </c>
      <c r="R181" s="358" t="b">
        <f>J181='d7'!F18</f>
        <v>1</v>
      </c>
    </row>
    <row r="182" spans="1:18" ht="228.75" x14ac:dyDescent="0.2">
      <c r="A182" s="360" t="s">
        <v>718</v>
      </c>
      <c r="B182" s="360" t="s">
        <v>335</v>
      </c>
      <c r="C182" s="360" t="s">
        <v>333</v>
      </c>
      <c r="D182" s="360" t="s">
        <v>334</v>
      </c>
      <c r="E182" s="359">
        <f>F182</f>
        <v>4258100</v>
      </c>
      <c r="F182" s="311">
        <f>(4223100)+35000</f>
        <v>4258100</v>
      </c>
      <c r="G182" s="311">
        <v>3166500</v>
      </c>
      <c r="H182" s="311">
        <v>119916</v>
      </c>
      <c r="I182" s="311"/>
      <c r="J182" s="359">
        <f>L182+O182</f>
        <v>0</v>
      </c>
      <c r="K182" s="311"/>
      <c r="L182" s="311"/>
      <c r="M182" s="311"/>
      <c r="N182" s="311"/>
      <c r="O182" s="266">
        <f>K182</f>
        <v>0</v>
      </c>
      <c r="P182" s="359">
        <f>E182+J182</f>
        <v>4258100</v>
      </c>
      <c r="Q182" s="146"/>
      <c r="R182" s="358"/>
    </row>
    <row r="183" spans="1:18" ht="137.25" x14ac:dyDescent="0.2">
      <c r="A183" s="360" t="s">
        <v>457</v>
      </c>
      <c r="B183" s="360" t="s">
        <v>458</v>
      </c>
      <c r="C183" s="360" t="s">
        <v>81</v>
      </c>
      <c r="D183" s="360" t="s">
        <v>82</v>
      </c>
      <c r="E183" s="359">
        <f t="shared" ref="E183:E184" si="104">F183</f>
        <v>0</v>
      </c>
      <c r="F183" s="311"/>
      <c r="G183" s="311"/>
      <c r="H183" s="311"/>
      <c r="I183" s="311"/>
      <c r="J183" s="359">
        <f>L183+O183</f>
        <v>834616</v>
      </c>
      <c r="K183" s="311"/>
      <c r="L183" s="311">
        <f>(116000)+90000+46216</f>
        <v>252216</v>
      </c>
      <c r="M183" s="311"/>
      <c r="N183" s="311"/>
      <c r="O183" s="266">
        <f>(K183+284000)+344616-130000+130000-46216</f>
        <v>582400</v>
      </c>
      <c r="P183" s="359">
        <f>E183+J183</f>
        <v>834616</v>
      </c>
    </row>
    <row r="184" spans="1:18" ht="91.5" x14ac:dyDescent="0.2">
      <c r="A184" s="360" t="s">
        <v>794</v>
      </c>
      <c r="B184" s="360" t="s">
        <v>795</v>
      </c>
      <c r="C184" s="360" t="s">
        <v>817</v>
      </c>
      <c r="D184" s="360" t="s">
        <v>816</v>
      </c>
      <c r="E184" s="359">
        <f t="shared" si="104"/>
        <v>0</v>
      </c>
      <c r="F184" s="311"/>
      <c r="G184" s="311"/>
      <c r="H184" s="311"/>
      <c r="I184" s="311"/>
      <c r="J184" s="359">
        <f>L184+O184</f>
        <v>56289.96</v>
      </c>
      <c r="K184" s="311"/>
      <c r="L184" s="311">
        <v>56289.96</v>
      </c>
      <c r="M184" s="311"/>
      <c r="N184" s="311"/>
      <c r="O184" s="266">
        <f>K184</f>
        <v>0</v>
      </c>
      <c r="P184" s="359">
        <f>E184+J184</f>
        <v>56289.96</v>
      </c>
    </row>
    <row r="185" spans="1:18" ht="91.5" x14ac:dyDescent="0.2">
      <c r="A185" s="360" t="s">
        <v>459</v>
      </c>
      <c r="B185" s="360" t="s">
        <v>460</v>
      </c>
      <c r="C185" s="360" t="s">
        <v>83</v>
      </c>
      <c r="D185" s="360" t="s">
        <v>461</v>
      </c>
      <c r="E185" s="359">
        <v>0</v>
      </c>
      <c r="F185" s="311"/>
      <c r="G185" s="311"/>
      <c r="H185" s="311"/>
      <c r="I185" s="311"/>
      <c r="J185" s="359">
        <f>L185+O185</f>
        <v>100000</v>
      </c>
      <c r="K185" s="359"/>
      <c r="L185" s="311">
        <v>100000</v>
      </c>
      <c r="M185" s="311"/>
      <c r="N185" s="311"/>
      <c r="O185" s="266">
        <f>K185</f>
        <v>0</v>
      </c>
      <c r="P185" s="359">
        <f>E185+J185</f>
        <v>100000</v>
      </c>
    </row>
    <row r="186" spans="1:18" ht="315" x14ac:dyDescent="0.2">
      <c r="A186" s="327" t="s">
        <v>242</v>
      </c>
      <c r="B186" s="327"/>
      <c r="C186" s="327"/>
      <c r="D186" s="328" t="s">
        <v>565</v>
      </c>
      <c r="E186" s="329">
        <f>E187</f>
        <v>3524300</v>
      </c>
      <c r="F186" s="329">
        <f t="shared" ref="F186:G186" si="105">F187</f>
        <v>3524300</v>
      </c>
      <c r="G186" s="329">
        <f t="shared" si="105"/>
        <v>2641000</v>
      </c>
      <c r="H186" s="329">
        <f>H187</f>
        <v>60000</v>
      </c>
      <c r="I186" s="329">
        <f t="shared" ref="I186" si="106">I187</f>
        <v>0</v>
      </c>
      <c r="J186" s="329">
        <f>J187</f>
        <v>500000</v>
      </c>
      <c r="K186" s="329">
        <f>K187</f>
        <v>500000</v>
      </c>
      <c r="L186" s="329">
        <f>L187</f>
        <v>0</v>
      </c>
      <c r="M186" s="329">
        <f t="shared" ref="M186" si="107">M187</f>
        <v>0</v>
      </c>
      <c r="N186" s="329">
        <f>N187</f>
        <v>0</v>
      </c>
      <c r="O186" s="329">
        <f>O187</f>
        <v>500000</v>
      </c>
      <c r="P186" s="329">
        <f t="shared" ref="P186" si="108">P187</f>
        <v>4024300</v>
      </c>
    </row>
    <row r="187" spans="1:18" ht="315" x14ac:dyDescent="0.2">
      <c r="A187" s="324" t="s">
        <v>243</v>
      </c>
      <c r="B187" s="324"/>
      <c r="C187" s="324"/>
      <c r="D187" s="325" t="s">
        <v>566</v>
      </c>
      <c r="E187" s="326">
        <f>SUM(E188:E190)</f>
        <v>3524300</v>
      </c>
      <c r="F187" s="326">
        <f t="shared" ref="F187:N187" si="109">SUM(F188:F190)</f>
        <v>3524300</v>
      </c>
      <c r="G187" s="326">
        <f t="shared" si="109"/>
        <v>2641000</v>
      </c>
      <c r="H187" s="326">
        <f t="shared" si="109"/>
        <v>60000</v>
      </c>
      <c r="I187" s="326">
        <f t="shared" si="109"/>
        <v>0</v>
      </c>
      <c r="J187" s="326">
        <f>L187+O187</f>
        <v>500000</v>
      </c>
      <c r="K187" s="326">
        <f t="shared" si="109"/>
        <v>500000</v>
      </c>
      <c r="L187" s="326">
        <f t="shared" si="109"/>
        <v>0</v>
      </c>
      <c r="M187" s="326">
        <f t="shared" si="109"/>
        <v>0</v>
      </c>
      <c r="N187" s="326">
        <f t="shared" si="109"/>
        <v>0</v>
      </c>
      <c r="O187" s="326">
        <f>SUM(O188:O190)</f>
        <v>500000</v>
      </c>
      <c r="P187" s="326">
        <f>E187+J187</f>
        <v>4024300</v>
      </c>
      <c r="Q187" s="146" t="b">
        <f>P187=P189+P190+P188</f>
        <v>1</v>
      </c>
      <c r="R187" s="358" t="b">
        <f>K187='d5'!I193</f>
        <v>0</v>
      </c>
    </row>
    <row r="188" spans="1:18" ht="228.75" x14ac:dyDescent="0.2">
      <c r="A188" s="360" t="s">
        <v>714</v>
      </c>
      <c r="B188" s="360" t="s">
        <v>335</v>
      </c>
      <c r="C188" s="360" t="s">
        <v>333</v>
      </c>
      <c r="D188" s="360" t="s">
        <v>334</v>
      </c>
      <c r="E188" s="359">
        <f>F188</f>
        <v>3524300</v>
      </c>
      <c r="F188" s="311">
        <f>(3469300)+55000</f>
        <v>3524300</v>
      </c>
      <c r="G188" s="311">
        <v>2641000</v>
      </c>
      <c r="H188" s="311">
        <v>60000</v>
      </c>
      <c r="I188" s="311"/>
      <c r="J188" s="359">
        <f>L188+O188</f>
        <v>0</v>
      </c>
      <c r="K188" s="311"/>
      <c r="L188" s="311"/>
      <c r="M188" s="311"/>
      <c r="N188" s="311"/>
      <c r="O188" s="266">
        <f>K188</f>
        <v>0</v>
      </c>
      <c r="P188" s="359">
        <f>E188+J188</f>
        <v>3524300</v>
      </c>
      <c r="Q188" s="146"/>
      <c r="R188" s="358"/>
    </row>
    <row r="189" spans="1:18" ht="91.5" x14ac:dyDescent="0.2">
      <c r="A189" s="360" t="s">
        <v>451</v>
      </c>
      <c r="B189" s="360" t="s">
        <v>452</v>
      </c>
      <c r="C189" s="360" t="s">
        <v>453</v>
      </c>
      <c r="D189" s="360" t="s">
        <v>450</v>
      </c>
      <c r="E189" s="359">
        <f>F189</f>
        <v>0</v>
      </c>
      <c r="F189" s="311">
        <v>0</v>
      </c>
      <c r="G189" s="311"/>
      <c r="H189" s="311"/>
      <c r="I189" s="311"/>
      <c r="J189" s="359">
        <f>L189+O189</f>
        <v>410000</v>
      </c>
      <c r="K189" s="311">
        <v>410000</v>
      </c>
      <c r="L189" s="311"/>
      <c r="M189" s="311"/>
      <c r="N189" s="311"/>
      <c r="O189" s="266">
        <f>K189</f>
        <v>410000</v>
      </c>
      <c r="P189" s="359">
        <f>E189+J189</f>
        <v>410000</v>
      </c>
      <c r="Q189" s="346" t="s">
        <v>982</v>
      </c>
    </row>
    <row r="190" spans="1:18" ht="137.25" x14ac:dyDescent="0.2">
      <c r="A190" s="360" t="s">
        <v>595</v>
      </c>
      <c r="B190" s="360" t="s">
        <v>596</v>
      </c>
      <c r="C190" s="360" t="s">
        <v>250</v>
      </c>
      <c r="D190" s="360" t="s">
        <v>597</v>
      </c>
      <c r="E190" s="359">
        <f>F190</f>
        <v>0</v>
      </c>
      <c r="F190" s="311">
        <v>0</v>
      </c>
      <c r="G190" s="311"/>
      <c r="H190" s="311"/>
      <c r="I190" s="311"/>
      <c r="J190" s="359">
        <f>L190+O190</f>
        <v>90000</v>
      </c>
      <c r="K190" s="311">
        <v>90000</v>
      </c>
      <c r="L190" s="311"/>
      <c r="M190" s="311"/>
      <c r="N190" s="311"/>
      <c r="O190" s="266">
        <f>K190</f>
        <v>90000</v>
      </c>
      <c r="P190" s="359">
        <f>E190+J190</f>
        <v>90000</v>
      </c>
      <c r="Q190" s="346" t="s">
        <v>982</v>
      </c>
    </row>
    <row r="191" spans="1:18" ht="135" x14ac:dyDescent="0.2">
      <c r="A191" s="327" t="s">
        <v>248</v>
      </c>
      <c r="B191" s="327"/>
      <c r="C191" s="327"/>
      <c r="D191" s="328" t="s">
        <v>48</v>
      </c>
      <c r="E191" s="329">
        <f>E192</f>
        <v>63174853</v>
      </c>
      <c r="F191" s="329">
        <f t="shared" ref="F191:G191" si="110">F192</f>
        <v>63174853</v>
      </c>
      <c r="G191" s="329">
        <f t="shared" si="110"/>
        <v>5159100</v>
      </c>
      <c r="H191" s="329">
        <f>H192</f>
        <v>142897</v>
      </c>
      <c r="I191" s="329">
        <f t="shared" ref="I191" si="111">I192</f>
        <v>0</v>
      </c>
      <c r="J191" s="329">
        <f>J192</f>
        <v>62500</v>
      </c>
      <c r="K191" s="329">
        <f>K192</f>
        <v>62500</v>
      </c>
      <c r="L191" s="329">
        <f>L192</f>
        <v>0</v>
      </c>
      <c r="M191" s="329">
        <f t="shared" ref="M191" si="112">M192</f>
        <v>0</v>
      </c>
      <c r="N191" s="329">
        <f>N192</f>
        <v>0</v>
      </c>
      <c r="O191" s="329">
        <f>O192</f>
        <v>62500</v>
      </c>
      <c r="P191" s="329">
        <f t="shared" ref="P191" si="113">P192</f>
        <v>63237353</v>
      </c>
    </row>
    <row r="192" spans="1:18" ht="135" x14ac:dyDescent="0.2">
      <c r="A192" s="324" t="s">
        <v>249</v>
      </c>
      <c r="B192" s="324"/>
      <c r="C192" s="324"/>
      <c r="D192" s="325" t="s">
        <v>66</v>
      </c>
      <c r="E192" s="326">
        <f>SUM(E193:E196)</f>
        <v>63174853</v>
      </c>
      <c r="F192" s="326">
        <f t="shared" ref="F192:N192" si="114">SUM(F193:F196)</f>
        <v>63174853</v>
      </c>
      <c r="G192" s="326">
        <f t="shared" si="114"/>
        <v>5159100</v>
      </c>
      <c r="H192" s="326">
        <f t="shared" si="114"/>
        <v>142897</v>
      </c>
      <c r="I192" s="326">
        <f t="shared" si="114"/>
        <v>0</v>
      </c>
      <c r="J192" s="326">
        <f>L192+O192</f>
        <v>62500</v>
      </c>
      <c r="K192" s="326">
        <f>SUM(K193:K196)</f>
        <v>62500</v>
      </c>
      <c r="L192" s="326">
        <f t="shared" si="114"/>
        <v>0</v>
      </c>
      <c r="M192" s="326">
        <f t="shared" si="114"/>
        <v>0</v>
      </c>
      <c r="N192" s="326">
        <f t="shared" si="114"/>
        <v>0</v>
      </c>
      <c r="O192" s="326">
        <f>SUM(O193:O196)</f>
        <v>62500</v>
      </c>
      <c r="P192" s="326">
        <f>E192+J192</f>
        <v>63237353</v>
      </c>
      <c r="Q192" s="146" t="b">
        <f>P192=P194+P195+P196+P193</f>
        <v>1</v>
      </c>
      <c r="R192" s="358" t="b">
        <f>K192='d5'!I201</f>
        <v>1</v>
      </c>
    </row>
    <row r="193" spans="1:18" ht="228.75" x14ac:dyDescent="0.2">
      <c r="A193" s="360" t="s">
        <v>716</v>
      </c>
      <c r="B193" s="360" t="s">
        <v>335</v>
      </c>
      <c r="C193" s="360" t="s">
        <v>333</v>
      </c>
      <c r="D193" s="360" t="s">
        <v>334</v>
      </c>
      <c r="E193" s="359">
        <f>F193</f>
        <v>6853335</v>
      </c>
      <c r="F193" s="311">
        <f>((6887800)+40000)-95000+20000+535</f>
        <v>6853335</v>
      </c>
      <c r="G193" s="311">
        <f>(5254100)-95000</f>
        <v>5159100</v>
      </c>
      <c r="H193" s="311">
        <f>(142362)+535</f>
        <v>142897</v>
      </c>
      <c r="I193" s="311"/>
      <c r="J193" s="359">
        <f>L193+O193</f>
        <v>62500</v>
      </c>
      <c r="K193" s="311">
        <f>(50000)+12500</f>
        <v>62500</v>
      </c>
      <c r="L193" s="311"/>
      <c r="M193" s="311"/>
      <c r="N193" s="311"/>
      <c r="O193" s="266">
        <f>K193</f>
        <v>62500</v>
      </c>
      <c r="P193" s="359">
        <f>E193+J193</f>
        <v>6915835</v>
      </c>
      <c r="Q193" s="146"/>
      <c r="R193" s="358"/>
    </row>
    <row r="194" spans="1:18" ht="46.5" x14ac:dyDescent="0.2">
      <c r="A194" s="250">
        <v>3718600</v>
      </c>
      <c r="B194" s="250">
        <v>8600</v>
      </c>
      <c r="C194" s="360" t="s">
        <v>575</v>
      </c>
      <c r="D194" s="250" t="s">
        <v>576</v>
      </c>
      <c r="E194" s="359">
        <f>F194</f>
        <v>1282700</v>
      </c>
      <c r="F194" s="311">
        <v>1282700</v>
      </c>
      <c r="G194" s="311"/>
      <c r="H194" s="311"/>
      <c r="I194" s="311"/>
      <c r="J194" s="359">
        <f>L194+O194</f>
        <v>0</v>
      </c>
      <c r="K194" s="311"/>
      <c r="L194" s="311"/>
      <c r="M194" s="311"/>
      <c r="N194" s="311"/>
      <c r="O194" s="266">
        <f>K194</f>
        <v>0</v>
      </c>
      <c r="P194" s="359">
        <f>E194+J194</f>
        <v>1282700</v>
      </c>
    </row>
    <row r="195" spans="1:18" ht="69" customHeight="1" x14ac:dyDescent="0.2">
      <c r="A195" s="250">
        <v>3718700</v>
      </c>
      <c r="B195" s="250">
        <v>8700</v>
      </c>
      <c r="C195" s="360" t="s">
        <v>70</v>
      </c>
      <c r="D195" s="269" t="s">
        <v>68</v>
      </c>
      <c r="E195" s="359">
        <f>F195</f>
        <v>652818</v>
      </c>
      <c r="F195" s="311">
        <f>(((5000000-655000)-3000000+1000000-800000-576000)-300000)+500000-134495-6687+500000-500000-375000</f>
        <v>652818</v>
      </c>
      <c r="G195" s="311"/>
      <c r="H195" s="311"/>
      <c r="I195" s="311"/>
      <c r="J195" s="359">
        <f>L195+O195</f>
        <v>0</v>
      </c>
      <c r="K195" s="311"/>
      <c r="L195" s="311"/>
      <c r="M195" s="311"/>
      <c r="N195" s="311"/>
      <c r="O195" s="266">
        <f>K195</f>
        <v>0</v>
      </c>
      <c r="P195" s="359">
        <f>E195+J195</f>
        <v>652818</v>
      </c>
    </row>
    <row r="196" spans="1:18" ht="65.25" customHeight="1" x14ac:dyDescent="0.2">
      <c r="A196" s="250">
        <v>3719110</v>
      </c>
      <c r="B196" s="250">
        <v>9110</v>
      </c>
      <c r="C196" s="360" t="s">
        <v>71</v>
      </c>
      <c r="D196" s="269" t="s">
        <v>69</v>
      </c>
      <c r="E196" s="359">
        <f>F196</f>
        <v>54386000</v>
      </c>
      <c r="F196" s="311">
        <v>54386000</v>
      </c>
      <c r="G196" s="311"/>
      <c r="H196" s="311"/>
      <c r="I196" s="311"/>
      <c r="J196" s="359">
        <f>L196+O196</f>
        <v>0</v>
      </c>
      <c r="K196" s="311"/>
      <c r="L196" s="311"/>
      <c r="M196" s="311"/>
      <c r="N196" s="311"/>
      <c r="O196" s="266">
        <f>K196</f>
        <v>0</v>
      </c>
      <c r="P196" s="359">
        <f>E196+J196</f>
        <v>54386000</v>
      </c>
    </row>
    <row r="197" spans="1:18" ht="111.75" customHeight="1" x14ac:dyDescent="0.55000000000000004">
      <c r="A197" s="330" t="s">
        <v>633</v>
      </c>
      <c r="B197" s="330" t="s">
        <v>633</v>
      </c>
      <c r="C197" s="330" t="s">
        <v>633</v>
      </c>
      <c r="D197" s="331" t="s">
        <v>649</v>
      </c>
      <c r="E197" s="332">
        <f>E14+E26+E122+E40+E54+E112+E138+E160+E169+E192+E174+E181+E187</f>
        <v>2671792699.2600002</v>
      </c>
      <c r="F197" s="332">
        <f>F14+F26+F122+F40+F53+F112+F138+F160+F169+F192+F174+F181+F187</f>
        <v>2671792699.2600002</v>
      </c>
      <c r="G197" s="332">
        <f t="shared" ref="G197:O197" si="115">G14+G26+G122+G40+G54+G112+G138+G160+G169+G192+G174+G181+G187</f>
        <v>866701198.39999998</v>
      </c>
      <c r="H197" s="332">
        <f t="shared" si="115"/>
        <v>97100214</v>
      </c>
      <c r="I197" s="332">
        <f t="shared" si="115"/>
        <v>0</v>
      </c>
      <c r="J197" s="332">
        <f t="shared" si="115"/>
        <v>602869614.5</v>
      </c>
      <c r="K197" s="332">
        <f t="shared" si="115"/>
        <v>476019790.34999996</v>
      </c>
      <c r="L197" s="332">
        <f t="shared" si="115"/>
        <v>124252836.53</v>
      </c>
      <c r="M197" s="332">
        <f t="shared" si="115"/>
        <v>34317186</v>
      </c>
      <c r="N197" s="332">
        <f t="shared" si="115"/>
        <v>9173831.4000000004</v>
      </c>
      <c r="O197" s="332">
        <f t="shared" si="115"/>
        <v>478616777.96999997</v>
      </c>
      <c r="P197" s="332">
        <f>P14+P26+P122+P40+P53+P112+P138+P160+P169+P192+P174+P181+P187</f>
        <v>3274662313.7600002</v>
      </c>
      <c r="Q197" s="14" t="b">
        <f>K197='d5'!I204</f>
        <v>0</v>
      </c>
    </row>
    <row r="198" spans="1:18" ht="45.75" x14ac:dyDescent="0.2">
      <c r="A198" s="510" t="s">
        <v>448</v>
      </c>
      <c r="B198" s="511"/>
      <c r="C198" s="511"/>
      <c r="D198" s="511"/>
      <c r="E198" s="511"/>
      <c r="F198" s="511"/>
      <c r="G198" s="511"/>
      <c r="H198" s="511"/>
      <c r="I198" s="511"/>
      <c r="J198" s="511"/>
      <c r="K198" s="511"/>
      <c r="L198" s="511"/>
      <c r="M198" s="511"/>
      <c r="N198" s="511"/>
      <c r="O198" s="511"/>
      <c r="P198" s="511"/>
      <c r="Q198" s="12"/>
    </row>
    <row r="199" spans="1:18" ht="45.75" hidden="1" x14ac:dyDescent="0.2">
      <c r="A199" s="116"/>
      <c r="B199" s="117"/>
      <c r="C199" s="117"/>
      <c r="D199" s="117"/>
      <c r="E199" s="200">
        <f>F199</f>
        <v>2671792699.2600002</v>
      </c>
      <c r="F199" s="200">
        <v>2671792699.2600002</v>
      </c>
      <c r="G199" s="200">
        <v>866701198.39999998</v>
      </c>
      <c r="H199" s="200">
        <v>97100214</v>
      </c>
      <c r="I199" s="200">
        <v>0</v>
      </c>
      <c r="J199" s="200">
        <v>602869614.5</v>
      </c>
      <c r="K199" s="200">
        <v>476019790.35000002</v>
      </c>
      <c r="L199" s="200">
        <v>124252836.53</v>
      </c>
      <c r="M199" s="200">
        <v>34317186</v>
      </c>
      <c r="N199" s="200">
        <f>9158831.4+15000</f>
        <v>9173831.4000000004</v>
      </c>
      <c r="O199" s="200">
        <v>478616777.97000003</v>
      </c>
      <c r="P199" s="200">
        <f>E199+J199</f>
        <v>3274662313.7600002</v>
      </c>
      <c r="Q199" s="12"/>
      <c r="R199" s="12"/>
    </row>
    <row r="200" spans="1:18" ht="45.75" x14ac:dyDescent="0.2">
      <c r="A200" s="116"/>
      <c r="B200" s="117"/>
      <c r="C200" s="117"/>
      <c r="D200" s="117"/>
      <c r="E200" s="117"/>
      <c r="F200" s="117"/>
      <c r="G200" s="117"/>
      <c r="H200" s="117"/>
      <c r="I200" s="117"/>
      <c r="J200" s="117"/>
      <c r="K200" s="117"/>
      <c r="L200" s="117"/>
      <c r="M200" s="117"/>
      <c r="N200" s="117"/>
      <c r="O200" s="117"/>
      <c r="P200" s="117"/>
      <c r="Q200" s="12"/>
    </row>
    <row r="201" spans="1:18" ht="45.75" x14ac:dyDescent="0.65">
      <c r="A201" s="352"/>
      <c r="B201" s="352"/>
      <c r="C201" s="352"/>
      <c r="D201" s="509" t="s">
        <v>902</v>
      </c>
      <c r="E201" s="509"/>
      <c r="F201" s="509"/>
      <c r="G201" s="509"/>
      <c r="H201" s="509"/>
      <c r="I201" s="509"/>
      <c r="J201" s="509"/>
      <c r="K201" s="509"/>
      <c r="L201" s="509"/>
      <c r="M201" s="509"/>
      <c r="N201" s="509"/>
      <c r="O201" s="509"/>
      <c r="P201" s="509"/>
      <c r="Q201" s="13"/>
    </row>
    <row r="202" spans="1:18" ht="45.75" x14ac:dyDescent="0.2">
      <c r="E202" s="24"/>
      <c r="F202" s="3"/>
      <c r="J202" s="197"/>
      <c r="K202" s="197"/>
      <c r="O202" s="128"/>
      <c r="P202" s="19"/>
    </row>
    <row r="203" spans="1:18" ht="45.75" x14ac:dyDescent="0.65">
      <c r="D203" s="509" t="s">
        <v>225</v>
      </c>
      <c r="E203" s="509"/>
      <c r="F203" s="509"/>
      <c r="G203" s="509"/>
      <c r="H203" s="509"/>
      <c r="I203" s="509"/>
      <c r="J203" s="509"/>
      <c r="K203" s="509"/>
      <c r="L203" s="509"/>
      <c r="M203" s="509"/>
      <c r="N203" s="509"/>
      <c r="O203" s="509"/>
      <c r="P203" s="509"/>
      <c r="Q203" s="14"/>
    </row>
    <row r="204" spans="1:18" x14ac:dyDescent="0.2">
      <c r="E204" s="4"/>
      <c r="F204" s="3"/>
      <c r="J204" s="4"/>
      <c r="K204" s="4"/>
    </row>
    <row r="205" spans="1:18" x14ac:dyDescent="0.2">
      <c r="E205" s="4"/>
      <c r="F205" s="3"/>
      <c r="J205" s="4"/>
      <c r="K205" s="4"/>
    </row>
    <row r="206" spans="1:18" ht="60.75" x14ac:dyDescent="0.2">
      <c r="E206" s="114" t="b">
        <f>E199=E197</f>
        <v>1</v>
      </c>
      <c r="F206" s="114" t="b">
        <f>F199=F197</f>
        <v>1</v>
      </c>
      <c r="G206" s="114" t="b">
        <f>G199=G197</f>
        <v>1</v>
      </c>
      <c r="H206" s="114" t="b">
        <f t="shared" ref="H206:O206" si="116">H199=H197</f>
        <v>1</v>
      </c>
      <c r="I206" s="114" t="b">
        <f>I199=I197</f>
        <v>1</v>
      </c>
      <c r="J206" s="114" t="b">
        <f>J199=J197</f>
        <v>1</v>
      </c>
      <c r="K206" s="114" t="b">
        <f>K199=K197</f>
        <v>1</v>
      </c>
      <c r="L206" s="114" t="b">
        <f t="shared" si="116"/>
        <v>1</v>
      </c>
      <c r="M206" s="114" t="b">
        <f t="shared" si="116"/>
        <v>1</v>
      </c>
      <c r="N206" s="114" t="b">
        <f t="shared" si="116"/>
        <v>1</v>
      </c>
      <c r="O206" s="114" t="b">
        <f t="shared" si="116"/>
        <v>1</v>
      </c>
      <c r="P206" s="114" t="b">
        <f>P199=P197</f>
        <v>1</v>
      </c>
    </row>
    <row r="207" spans="1:18" ht="60.75" x14ac:dyDescent="0.2">
      <c r="E207" s="114" t="b">
        <f>E197=F197</f>
        <v>1</v>
      </c>
      <c r="F207" s="244">
        <f>F195/E197*100</f>
        <v>2.4433707008062768E-2</v>
      </c>
      <c r="G207" s="128" t="s">
        <v>485</v>
      </c>
      <c r="I207" s="111"/>
      <c r="J207" s="114" t="b">
        <f>J199=L199+O199</f>
        <v>1</v>
      </c>
      <c r="K207" s="198"/>
      <c r="L207" s="114"/>
      <c r="M207" s="111"/>
      <c r="N207" s="111"/>
      <c r="O207" s="114"/>
      <c r="P207" s="114" t="b">
        <f>E197+J197=P197</f>
        <v>1</v>
      </c>
    </row>
    <row r="208" spans="1:18" x14ac:dyDescent="0.2">
      <c r="E208" s="6"/>
      <c r="F208" s="176"/>
      <c r="G208" s="6"/>
      <c r="H208" s="6"/>
      <c r="I208" s="6"/>
      <c r="J208" s="4"/>
      <c r="K208" s="4"/>
    </row>
    <row r="209" spans="1:18" ht="45.75" x14ac:dyDescent="0.2">
      <c r="A209" s="350"/>
      <c r="B209" s="350"/>
      <c r="C209" s="350"/>
      <c r="D209" s="10"/>
      <c r="F209" s="128">
        <f>F195/P197*100</f>
        <v>1.993542959397324E-2</v>
      </c>
      <c r="G209" s="128" t="s">
        <v>485</v>
      </c>
      <c r="I209" s="10"/>
      <c r="J209" s="145"/>
      <c r="K209" s="145"/>
      <c r="L209" s="350"/>
      <c r="M209" s="350"/>
      <c r="N209" s="350"/>
      <c r="O209" s="145"/>
      <c r="P209" s="350"/>
    </row>
    <row r="210" spans="1:18" ht="60.75" x14ac:dyDescent="0.2">
      <c r="D210" s="10"/>
      <c r="E210" s="145"/>
      <c r="F210" s="243"/>
      <c r="G210" s="23"/>
      <c r="I210" s="10"/>
      <c r="J210" s="145"/>
      <c r="K210" s="145"/>
      <c r="O210" s="145"/>
      <c r="P210" s="114"/>
      <c r="Q210" s="115"/>
      <c r="R210" s="114"/>
    </row>
    <row r="211" spans="1:18" ht="60.75" x14ac:dyDescent="0.2">
      <c r="A211" s="350"/>
      <c r="B211" s="350"/>
      <c r="C211" s="350"/>
      <c r="D211" s="10"/>
      <c r="E211" s="145"/>
      <c r="F211" s="128"/>
      <c r="G211" s="3"/>
      <c r="I211" s="10"/>
      <c r="J211" s="145"/>
      <c r="K211" s="145"/>
      <c r="L211" s="350"/>
      <c r="M211" s="350"/>
      <c r="N211" s="350"/>
      <c r="O211" s="145"/>
      <c r="P211" s="114"/>
      <c r="Q211" s="115"/>
      <c r="R211" s="114"/>
    </row>
    <row r="212" spans="1:18" ht="60.75" x14ac:dyDescent="0.2">
      <c r="D212" s="10"/>
      <c r="E212" s="145"/>
      <c r="F212" s="177"/>
      <c r="O212" s="114"/>
      <c r="P212" s="114"/>
    </row>
    <row r="213" spans="1:18" ht="60.75" x14ac:dyDescent="0.2">
      <c r="A213" s="350"/>
      <c r="B213" s="350"/>
      <c r="C213" s="350"/>
      <c r="D213" s="10"/>
      <c r="E213" s="145"/>
      <c r="F213" s="128"/>
      <c r="G213" s="3"/>
      <c r="J213" s="4"/>
      <c r="K213" s="4"/>
      <c r="L213" s="350"/>
      <c r="M213" s="350"/>
      <c r="N213" s="350"/>
      <c r="O213" s="350"/>
      <c r="P213" s="114"/>
    </row>
    <row r="214" spans="1:18" ht="62.25" x14ac:dyDescent="0.8">
      <c r="A214" s="350"/>
      <c r="B214" s="350"/>
      <c r="C214" s="350"/>
      <c r="D214" s="350"/>
      <c r="E214" s="21"/>
      <c r="F214" s="128"/>
      <c r="J214" s="4"/>
      <c r="K214" s="4"/>
      <c r="L214" s="350"/>
      <c r="M214" s="350"/>
      <c r="N214" s="350"/>
      <c r="O214" s="350"/>
      <c r="P214" s="151"/>
    </row>
    <row r="215" spans="1:18" ht="45.75" x14ac:dyDescent="0.2">
      <c r="E215" s="22"/>
      <c r="F215" s="177"/>
    </row>
    <row r="216" spans="1:18" ht="45.75" x14ac:dyDescent="0.2">
      <c r="A216" s="350"/>
      <c r="B216" s="350"/>
      <c r="C216" s="350"/>
      <c r="D216" s="350"/>
      <c r="E216" s="21"/>
      <c r="F216" s="128"/>
      <c r="L216" s="350"/>
      <c r="M216" s="350"/>
      <c r="N216" s="350"/>
      <c r="O216" s="350"/>
      <c r="P216" s="350"/>
    </row>
    <row r="217" spans="1:18" ht="45.75" x14ac:dyDescent="0.2">
      <c r="E217" s="22"/>
      <c r="F217" s="177"/>
    </row>
    <row r="218" spans="1:18" ht="45.75" x14ac:dyDescent="0.2">
      <c r="E218" s="22"/>
      <c r="F218" s="177"/>
    </row>
    <row r="219" spans="1:18" ht="45.75" x14ac:dyDescent="0.2">
      <c r="E219" s="22"/>
      <c r="F219" s="177"/>
    </row>
    <row r="220" spans="1:18" ht="45.75" x14ac:dyDescent="0.2">
      <c r="A220" s="350"/>
      <c r="B220" s="350"/>
      <c r="C220" s="350"/>
      <c r="D220" s="350"/>
      <c r="E220" s="22"/>
      <c r="F220" s="177"/>
      <c r="G220" s="350"/>
      <c r="H220" s="350"/>
      <c r="I220" s="350"/>
      <c r="J220" s="350"/>
      <c r="K220" s="350"/>
      <c r="L220" s="350"/>
      <c r="M220" s="350"/>
      <c r="N220" s="350"/>
      <c r="O220" s="350"/>
      <c r="P220" s="350"/>
    </row>
    <row r="221" spans="1:18" ht="45.75" x14ac:dyDescent="0.2">
      <c r="A221" s="350"/>
      <c r="B221" s="350"/>
      <c r="C221" s="350"/>
      <c r="D221" s="350"/>
      <c r="E221" s="22"/>
      <c r="F221" s="177"/>
      <c r="G221" s="350"/>
      <c r="H221" s="350"/>
      <c r="I221" s="350"/>
      <c r="J221" s="350"/>
      <c r="K221" s="350"/>
      <c r="L221" s="350"/>
      <c r="M221" s="350"/>
      <c r="N221" s="350"/>
      <c r="O221" s="350"/>
      <c r="P221" s="350"/>
    </row>
    <row r="222" spans="1:18" ht="45.75" x14ac:dyDescent="0.2">
      <c r="A222" s="350"/>
      <c r="B222" s="350"/>
      <c r="C222" s="350"/>
      <c r="D222" s="350"/>
      <c r="E222" s="22"/>
      <c r="F222" s="177"/>
      <c r="G222" s="350"/>
      <c r="H222" s="350"/>
      <c r="I222" s="350"/>
      <c r="J222" s="350"/>
      <c r="K222" s="350"/>
      <c r="L222" s="350"/>
      <c r="M222" s="350"/>
      <c r="N222" s="350"/>
      <c r="O222" s="350"/>
      <c r="P222" s="350"/>
    </row>
    <row r="223" spans="1:18" ht="45.75" x14ac:dyDescent="0.2">
      <c r="A223" s="350"/>
      <c r="B223" s="350"/>
      <c r="C223" s="350"/>
      <c r="D223" s="350"/>
      <c r="E223" s="22"/>
      <c r="F223" s="177"/>
      <c r="G223" s="350"/>
      <c r="H223" s="350"/>
      <c r="I223" s="350"/>
      <c r="J223" s="350"/>
      <c r="K223" s="350"/>
      <c r="L223" s="350"/>
      <c r="M223" s="350"/>
      <c r="N223" s="350"/>
      <c r="O223" s="350"/>
      <c r="P223" s="350"/>
    </row>
  </sheetData>
  <mergeCells count="147">
    <mergeCell ref="N2:Q2"/>
    <mergeCell ref="N3:Q3"/>
    <mergeCell ref="O4:P4"/>
    <mergeCell ref="A6:P6"/>
    <mergeCell ref="A7:P7"/>
    <mergeCell ref="A9:A11"/>
    <mergeCell ref="B9:B11"/>
    <mergeCell ref="C9:C11"/>
    <mergeCell ref="D9:D11"/>
    <mergeCell ref="E9:I9"/>
    <mergeCell ref="J9:O9"/>
    <mergeCell ref="P9:P11"/>
    <mergeCell ref="E10:E11"/>
    <mergeCell ref="F10:F11"/>
    <mergeCell ref="G10:H10"/>
    <mergeCell ref="I10:I11"/>
    <mergeCell ref="J10:J11"/>
    <mergeCell ref="K10:K11"/>
    <mergeCell ref="L10:L11"/>
    <mergeCell ref="M10:N10"/>
    <mergeCell ref="K19:K20"/>
    <mergeCell ref="L19:L20"/>
    <mergeCell ref="M19:M20"/>
    <mergeCell ref="N19:N20"/>
    <mergeCell ref="O19:O20"/>
    <mergeCell ref="P19:P20"/>
    <mergeCell ref="O10:O11"/>
    <mergeCell ref="A19:A20"/>
    <mergeCell ref="B19:B20"/>
    <mergeCell ref="C19:C20"/>
    <mergeCell ref="E19:E20"/>
    <mergeCell ref="F19:F20"/>
    <mergeCell ref="G19:G20"/>
    <mergeCell ref="H19:H20"/>
    <mergeCell ref="I19:I20"/>
    <mergeCell ref="J19:J20"/>
    <mergeCell ref="N79:N80"/>
    <mergeCell ref="O79:O80"/>
    <mergeCell ref="P79:P80"/>
    <mergeCell ref="A91:A93"/>
    <mergeCell ref="B91:B93"/>
    <mergeCell ref="C91:C93"/>
    <mergeCell ref="E91:E93"/>
    <mergeCell ref="F91:F93"/>
    <mergeCell ref="G91:G93"/>
    <mergeCell ref="H91:H93"/>
    <mergeCell ref="H79:H80"/>
    <mergeCell ref="I79:I80"/>
    <mergeCell ref="J79:J80"/>
    <mergeCell ref="K79:K80"/>
    <mergeCell ref="L79:L80"/>
    <mergeCell ref="M79:M80"/>
    <mergeCell ref="A79:A80"/>
    <mergeCell ref="B79:B80"/>
    <mergeCell ref="C79:C80"/>
    <mergeCell ref="E79:E80"/>
    <mergeCell ref="F79:F80"/>
    <mergeCell ref="G79:G80"/>
    <mergeCell ref="O91:O93"/>
    <mergeCell ref="P91:P93"/>
    <mergeCell ref="R91:R93"/>
    <mergeCell ref="A94:A97"/>
    <mergeCell ref="B94:B97"/>
    <mergeCell ref="C94:C97"/>
    <mergeCell ref="E94:E97"/>
    <mergeCell ref="F94:F97"/>
    <mergeCell ref="G94:G97"/>
    <mergeCell ref="H94:H97"/>
    <mergeCell ref="I91:I93"/>
    <mergeCell ref="J91:J93"/>
    <mergeCell ref="K91:K93"/>
    <mergeCell ref="L91:L93"/>
    <mergeCell ref="M91:M93"/>
    <mergeCell ref="N91:N93"/>
    <mergeCell ref="O94:O97"/>
    <mergeCell ref="P94:P97"/>
    <mergeCell ref="R94:R97"/>
    <mergeCell ref="K94:K97"/>
    <mergeCell ref="L94:L97"/>
    <mergeCell ref="M94:M97"/>
    <mergeCell ref="N94:N97"/>
    <mergeCell ref="A98:A100"/>
    <mergeCell ref="B98:B100"/>
    <mergeCell ref="C98:C100"/>
    <mergeCell ref="E98:E100"/>
    <mergeCell ref="F98:F100"/>
    <mergeCell ref="G98:G100"/>
    <mergeCell ref="H98:H100"/>
    <mergeCell ref="I94:I97"/>
    <mergeCell ref="J94:J97"/>
    <mergeCell ref="I101:I103"/>
    <mergeCell ref="O98:O100"/>
    <mergeCell ref="P98:P100"/>
    <mergeCell ref="R98:R100"/>
    <mergeCell ref="A101:A103"/>
    <mergeCell ref="B101:B103"/>
    <mergeCell ref="C101:C103"/>
    <mergeCell ref="E101:E103"/>
    <mergeCell ref="F101:F103"/>
    <mergeCell ref="G101:G103"/>
    <mergeCell ref="H101:H103"/>
    <mergeCell ref="I98:I100"/>
    <mergeCell ref="J98:J100"/>
    <mergeCell ref="K98:K100"/>
    <mergeCell ref="L98:L100"/>
    <mergeCell ref="M98:M100"/>
    <mergeCell ref="N98:N100"/>
    <mergeCell ref="O101:O103"/>
    <mergeCell ref="P101:P103"/>
    <mergeCell ref="J101:J103"/>
    <mergeCell ref="K101:K103"/>
    <mergeCell ref="L101:L103"/>
    <mergeCell ref="M101:M103"/>
    <mergeCell ref="N101:N103"/>
    <mergeCell ref="P109:P110"/>
    <mergeCell ref="A156:A157"/>
    <mergeCell ref="B156:B157"/>
    <mergeCell ref="C156:C157"/>
    <mergeCell ref="E156:E157"/>
    <mergeCell ref="F156:F157"/>
    <mergeCell ref="G156:G157"/>
    <mergeCell ref="H156:H157"/>
    <mergeCell ref="I156:I157"/>
    <mergeCell ref="J156:J157"/>
    <mergeCell ref="J109:J110"/>
    <mergeCell ref="K109:K110"/>
    <mergeCell ref="L109:L110"/>
    <mergeCell ref="M109:M110"/>
    <mergeCell ref="N109:N110"/>
    <mergeCell ref="O109:O110"/>
    <mergeCell ref="A109:A110"/>
    <mergeCell ref="B109:B110"/>
    <mergeCell ref="C109:C110"/>
    <mergeCell ref="E109:E110"/>
    <mergeCell ref="F109:F110"/>
    <mergeCell ref="G109:G110"/>
    <mergeCell ref="H109:H110"/>
    <mergeCell ref="I109:I110"/>
    <mergeCell ref="A198:P198"/>
    <mergeCell ref="D201:P201"/>
    <mergeCell ref="D203:P203"/>
    <mergeCell ref="K156:K157"/>
    <mergeCell ref="L156:L157"/>
    <mergeCell ref="M156:M157"/>
    <mergeCell ref="N156:N157"/>
    <mergeCell ref="O156:O157"/>
    <mergeCell ref="P156:P157"/>
  </mergeCells>
  <conditionalFormatting sqref="Q169:R171">
    <cfRule type="iconSet" priority="9">
      <iconSet iconSet="3Arrows">
        <cfvo type="percent" val="0"/>
        <cfvo type="percent" val="33"/>
        <cfvo type="percent" val="67"/>
      </iconSet>
    </cfRule>
  </conditionalFormatting>
  <conditionalFormatting sqref="Q181:R182">
    <cfRule type="iconSet" priority="8">
      <iconSet iconSet="3Arrows">
        <cfvo type="percent" val="0"/>
        <cfvo type="percent" val="33"/>
        <cfvo type="percent" val="67"/>
      </iconSet>
    </cfRule>
  </conditionalFormatting>
  <conditionalFormatting sqref="Q193:R193 Q192">
    <cfRule type="iconSet" priority="7">
      <iconSet iconSet="3Arrows">
        <cfvo type="percent" val="0"/>
        <cfvo type="percent" val="33"/>
        <cfvo type="percent" val="67"/>
      </iconSet>
    </cfRule>
  </conditionalFormatting>
  <conditionalFormatting sqref="Q187:R188">
    <cfRule type="iconSet" priority="6">
      <iconSet iconSet="3Arrows">
        <cfvo type="percent" val="0"/>
        <cfvo type="percent" val="33"/>
        <cfvo type="percent" val="67"/>
      </iconSet>
    </cfRule>
  </conditionalFormatting>
  <conditionalFormatting sqref="R192">
    <cfRule type="iconSet" priority="5">
      <iconSet iconSet="3Arrows">
        <cfvo type="percent" val="0"/>
        <cfvo type="percent" val="33"/>
        <cfvo type="percent" val="67"/>
      </iconSet>
    </cfRule>
  </conditionalFormatting>
  <conditionalFormatting sqref="Q174:R174">
    <cfRule type="iconSet" priority="10">
      <iconSet iconSet="3Arrows">
        <cfvo type="percent" val="0"/>
        <cfvo type="percent" val="33"/>
        <cfvo type="percent" val="67"/>
      </iconSet>
    </cfRule>
  </conditionalFormatting>
  <conditionalFormatting sqref="R175:R179">
    <cfRule type="iconSet" priority="4">
      <iconSet iconSet="3Arrows">
        <cfvo type="percent" val="0"/>
        <cfvo type="percent" val="33"/>
        <cfvo type="percent" val="67"/>
      </iconSet>
    </cfRule>
  </conditionalFormatting>
  <conditionalFormatting sqref="Q172">
    <cfRule type="iconSet" priority="3">
      <iconSet iconSet="3Arrows">
        <cfvo type="percent" val="0"/>
        <cfvo type="percent" val="33"/>
        <cfvo type="percent" val="67"/>
      </iconSet>
    </cfRule>
  </conditionalFormatting>
  <conditionalFormatting sqref="Q189">
    <cfRule type="iconSet" priority="2">
      <iconSet iconSet="3Arrows">
        <cfvo type="percent" val="0"/>
        <cfvo type="percent" val="33"/>
        <cfvo type="percent" val="67"/>
      </iconSet>
    </cfRule>
  </conditionalFormatting>
  <conditionalFormatting sqref="Q190">
    <cfRule type="iconSet" priority="1">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5" fitToHeight="0" orientation="landscape" r:id="rId1"/>
  <headerFooter alignWithMargins="0">
    <oddFooter>&amp;C&amp;"Times New Roman Cyr,курсив"Сторінка &amp;P з &amp;N</oddFooter>
  </headerFooter>
  <rowBreaks count="3" manualBreakCount="3">
    <brk id="28" max="15" man="1"/>
    <brk id="50" max="15" man="1"/>
    <brk id="7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2:P213"/>
  <sheetViews>
    <sheetView view="pageBreakPreview" topLeftCell="D1" zoomScale="25" zoomScaleNormal="25" zoomScaleSheetLayoutView="25" zoomScalePageLayoutView="10" workbookViewId="0">
      <pane ySplit="12" topLeftCell="A189" activePane="bottomLeft" state="frozen"/>
      <selection activeCell="AA194" sqref="AA194"/>
      <selection pane="bottomLeft" activeCell="AA194" sqref="AA194"/>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66.42578125" style="5" customWidth="1"/>
    <col min="6" max="6" width="58.5703125" style="1" customWidth="1"/>
    <col min="7" max="7" width="55.42578125" style="1" customWidth="1"/>
    <col min="8" max="8" width="48.140625" style="1" customWidth="1"/>
    <col min="9" max="9" width="41.85546875" style="1" customWidth="1"/>
    <col min="10" max="10" width="50.5703125" style="5" customWidth="1"/>
    <col min="11" max="11" width="52.5703125" style="5" customWidth="1"/>
    <col min="12" max="12" width="56.140625" style="1" customWidth="1"/>
    <col min="13" max="13" width="54.85546875" style="1" customWidth="1"/>
    <col min="14" max="14" width="45.28515625" style="1" bestFit="1" customWidth="1"/>
    <col min="15" max="15" width="56.140625" style="1" bestFit="1" customWidth="1"/>
    <col min="16" max="16" width="86.28515625" style="5" customWidth="1"/>
    <col min="17" max="16384" width="9.140625" style="384"/>
  </cols>
  <sheetData>
    <row r="2" spans="1:16" ht="45.75" x14ac:dyDescent="0.2">
      <c r="D2" s="386"/>
      <c r="E2" s="387"/>
      <c r="F2" s="385"/>
      <c r="G2" s="387"/>
      <c r="H2" s="387"/>
      <c r="I2" s="387"/>
      <c r="J2" s="387"/>
      <c r="K2" s="387"/>
      <c r="L2" s="387"/>
      <c r="M2" s="387"/>
      <c r="N2" s="470"/>
      <c r="O2" s="458"/>
      <c r="P2" s="458"/>
    </row>
    <row r="3" spans="1:16" ht="45.75" x14ac:dyDescent="0.2">
      <c r="A3" s="386"/>
      <c r="B3" s="386"/>
      <c r="C3" s="386"/>
      <c r="D3" s="386"/>
      <c r="E3" s="387"/>
      <c r="F3" s="385"/>
      <c r="G3" s="387"/>
      <c r="H3" s="387"/>
      <c r="I3" s="387"/>
      <c r="J3" s="387"/>
      <c r="K3" s="387"/>
      <c r="L3" s="387"/>
      <c r="M3" s="387"/>
      <c r="N3" s="470"/>
      <c r="O3" s="471"/>
      <c r="P3" s="471"/>
    </row>
    <row r="4" spans="1:16" ht="40.700000000000003" customHeight="1" x14ac:dyDescent="0.2">
      <c r="A4" s="386"/>
      <c r="B4" s="386"/>
      <c r="C4" s="386"/>
      <c r="D4" s="386"/>
      <c r="E4" s="387"/>
      <c r="F4" s="385"/>
      <c r="G4" s="387"/>
      <c r="H4" s="387"/>
      <c r="I4" s="387"/>
      <c r="J4" s="387"/>
      <c r="K4" s="387"/>
      <c r="L4" s="387"/>
      <c r="M4" s="387"/>
      <c r="N4" s="387"/>
      <c r="O4" s="470"/>
      <c r="P4" s="472"/>
    </row>
    <row r="5" spans="1:16" ht="45.75" hidden="1" x14ac:dyDescent="0.2">
      <c r="A5" s="386"/>
      <c r="B5" s="386"/>
      <c r="C5" s="386"/>
      <c r="D5" s="386"/>
      <c r="E5" s="387"/>
      <c r="F5" s="385"/>
      <c r="G5" s="387"/>
      <c r="H5" s="387"/>
      <c r="I5" s="387"/>
      <c r="J5" s="387"/>
      <c r="K5" s="387"/>
      <c r="L5" s="387"/>
      <c r="M5" s="387"/>
      <c r="N5" s="387"/>
      <c r="O5" s="386"/>
      <c r="P5" s="385"/>
    </row>
    <row r="6" spans="1:16" ht="45" x14ac:dyDescent="0.2">
      <c r="A6" s="474" t="s">
        <v>1001</v>
      </c>
      <c r="B6" s="474"/>
      <c r="C6" s="474"/>
      <c r="D6" s="474"/>
      <c r="E6" s="474"/>
      <c r="F6" s="474"/>
      <c r="G6" s="474"/>
      <c r="H6" s="474"/>
      <c r="I6" s="474"/>
      <c r="J6" s="474"/>
      <c r="K6" s="474"/>
      <c r="L6" s="474"/>
      <c r="M6" s="474"/>
      <c r="N6" s="474"/>
      <c r="O6" s="474"/>
      <c r="P6" s="474"/>
    </row>
    <row r="7" spans="1:16" ht="45" x14ac:dyDescent="0.2">
      <c r="A7" s="474" t="s">
        <v>639</v>
      </c>
      <c r="B7" s="474"/>
      <c r="C7" s="474"/>
      <c r="D7" s="474"/>
      <c r="E7" s="474"/>
      <c r="F7" s="474"/>
      <c r="G7" s="474"/>
      <c r="H7" s="474"/>
      <c r="I7" s="474"/>
      <c r="J7" s="474"/>
      <c r="K7" s="474"/>
      <c r="L7" s="474"/>
      <c r="M7" s="474"/>
      <c r="N7" s="474"/>
      <c r="O7" s="474"/>
      <c r="P7" s="474"/>
    </row>
    <row r="8" spans="1:16" ht="53.45" customHeight="1" x14ac:dyDescent="0.2">
      <c r="A8" s="387"/>
      <c r="B8" s="387"/>
      <c r="C8" s="387"/>
      <c r="D8" s="387"/>
      <c r="E8" s="387"/>
      <c r="F8" s="385"/>
      <c r="G8" s="387"/>
      <c r="H8" s="387"/>
      <c r="I8" s="387"/>
      <c r="J8" s="387"/>
      <c r="K8" s="387"/>
      <c r="L8" s="387"/>
      <c r="M8" s="387"/>
      <c r="N8" s="387"/>
      <c r="O8" s="387"/>
      <c r="P8" s="10" t="s">
        <v>640</v>
      </c>
    </row>
    <row r="9" spans="1:16" ht="62.45" customHeight="1" x14ac:dyDescent="0.2">
      <c r="A9" s="478" t="s">
        <v>29</v>
      </c>
      <c r="B9" s="478" t="s">
        <v>641</v>
      </c>
      <c r="C9" s="478" t="s">
        <v>648</v>
      </c>
      <c r="D9" s="478" t="s">
        <v>642</v>
      </c>
      <c r="E9" s="473" t="s">
        <v>25</v>
      </c>
      <c r="F9" s="473"/>
      <c r="G9" s="473"/>
      <c r="H9" s="473"/>
      <c r="I9" s="473"/>
      <c r="J9" s="483" t="s">
        <v>84</v>
      </c>
      <c r="K9" s="484"/>
      <c r="L9" s="484"/>
      <c r="M9" s="484"/>
      <c r="N9" s="484"/>
      <c r="O9" s="485"/>
      <c r="P9" s="473" t="s">
        <v>24</v>
      </c>
    </row>
    <row r="10" spans="1:16" ht="255" customHeight="1" x14ac:dyDescent="0.2">
      <c r="A10" s="479"/>
      <c r="B10" s="481"/>
      <c r="C10" s="481"/>
      <c r="D10" s="479"/>
      <c r="E10" s="475" t="s">
        <v>636</v>
      </c>
      <c r="F10" s="475" t="s">
        <v>85</v>
      </c>
      <c r="G10" s="475" t="s">
        <v>26</v>
      </c>
      <c r="H10" s="475"/>
      <c r="I10" s="475" t="s">
        <v>87</v>
      </c>
      <c r="J10" s="475" t="s">
        <v>636</v>
      </c>
      <c r="K10" s="475" t="s">
        <v>637</v>
      </c>
      <c r="L10" s="475" t="s">
        <v>85</v>
      </c>
      <c r="M10" s="475" t="s">
        <v>26</v>
      </c>
      <c r="N10" s="475"/>
      <c r="O10" s="475" t="s">
        <v>87</v>
      </c>
      <c r="P10" s="473"/>
    </row>
    <row r="11" spans="1:16" ht="135" x14ac:dyDescent="0.2">
      <c r="A11" s="480"/>
      <c r="B11" s="480"/>
      <c r="C11" s="480"/>
      <c r="D11" s="480"/>
      <c r="E11" s="475"/>
      <c r="F11" s="475"/>
      <c r="G11" s="388" t="s">
        <v>86</v>
      </c>
      <c r="H11" s="388" t="s">
        <v>28</v>
      </c>
      <c r="I11" s="475"/>
      <c r="J11" s="475"/>
      <c r="K11" s="475"/>
      <c r="L11" s="475"/>
      <c r="M11" s="388" t="s">
        <v>86</v>
      </c>
      <c r="N11" s="388" t="s">
        <v>28</v>
      </c>
      <c r="O11" s="475"/>
      <c r="P11" s="473"/>
    </row>
    <row r="12" spans="1:16" s="2" customFormat="1" ht="111" customHeight="1" x14ac:dyDescent="0.2">
      <c r="A12" s="11" t="s">
        <v>4</v>
      </c>
      <c r="B12" s="11" t="s">
        <v>5</v>
      </c>
      <c r="C12" s="11" t="s">
        <v>27</v>
      </c>
      <c r="D12" s="11" t="s">
        <v>7</v>
      </c>
      <c r="E12" s="11" t="s">
        <v>651</v>
      </c>
      <c r="F12" s="11" t="s">
        <v>652</v>
      </c>
      <c r="G12" s="11" t="s">
        <v>653</v>
      </c>
      <c r="H12" s="11" t="s">
        <v>654</v>
      </c>
      <c r="I12" s="11" t="s">
        <v>655</v>
      </c>
      <c r="J12" s="11" t="s">
        <v>656</v>
      </c>
      <c r="K12" s="11" t="s">
        <v>657</v>
      </c>
      <c r="L12" s="11" t="s">
        <v>658</v>
      </c>
      <c r="M12" s="11" t="s">
        <v>659</v>
      </c>
      <c r="N12" s="11" t="s">
        <v>660</v>
      </c>
      <c r="O12" s="11" t="s">
        <v>661</v>
      </c>
      <c r="P12" s="11" t="s">
        <v>662</v>
      </c>
    </row>
    <row r="13" spans="1:16" s="2" customFormat="1" ht="135" x14ac:dyDescent="0.2">
      <c r="A13" s="327" t="s">
        <v>228</v>
      </c>
      <c r="B13" s="327"/>
      <c r="C13" s="327"/>
      <c r="D13" s="328" t="s">
        <v>230</v>
      </c>
      <c r="E13" s="329">
        <f>E14</f>
        <v>988966</v>
      </c>
      <c r="F13" s="329">
        <f t="shared" ref="F13:N13" si="0">F14</f>
        <v>988966</v>
      </c>
      <c r="G13" s="329">
        <f t="shared" si="0"/>
        <v>1245600</v>
      </c>
      <c r="H13" s="329">
        <f t="shared" si="0"/>
        <v>-459960</v>
      </c>
      <c r="I13" s="329">
        <f t="shared" si="0"/>
        <v>0</v>
      </c>
      <c r="J13" s="329">
        <f t="shared" si="0"/>
        <v>0</v>
      </c>
      <c r="K13" s="329">
        <f t="shared" si="0"/>
        <v>0</v>
      </c>
      <c r="L13" s="329">
        <f t="shared" si="0"/>
        <v>0</v>
      </c>
      <c r="M13" s="329">
        <f t="shared" si="0"/>
        <v>0</v>
      </c>
      <c r="N13" s="329">
        <f t="shared" si="0"/>
        <v>0</v>
      </c>
      <c r="O13" s="329">
        <f>O14</f>
        <v>0</v>
      </c>
      <c r="P13" s="329">
        <f t="shared" ref="P13" si="1">P14</f>
        <v>988966</v>
      </c>
    </row>
    <row r="14" spans="1:16" s="2" customFormat="1" ht="135" x14ac:dyDescent="0.2">
      <c r="A14" s="324" t="s">
        <v>229</v>
      </c>
      <c r="B14" s="324"/>
      <c r="C14" s="324"/>
      <c r="D14" s="325" t="s">
        <v>231</v>
      </c>
      <c r="E14" s="326">
        <f>SUM(E15:E24)</f>
        <v>988966</v>
      </c>
      <c r="F14" s="326">
        <f t="shared" ref="F14:I14" si="2">SUM(F15:F24)</f>
        <v>988966</v>
      </c>
      <c r="G14" s="326">
        <f t="shared" si="2"/>
        <v>1245600</v>
      </c>
      <c r="H14" s="326">
        <f t="shared" si="2"/>
        <v>-459960</v>
      </c>
      <c r="I14" s="326">
        <f t="shared" si="2"/>
        <v>0</v>
      </c>
      <c r="J14" s="326">
        <f t="shared" ref="J14" si="3">L14+O14</f>
        <v>0</v>
      </c>
      <c r="K14" s="326">
        <f t="shared" ref="K14:O14" si="4">SUM(K15:K24)</f>
        <v>0</v>
      </c>
      <c r="L14" s="326">
        <f t="shared" si="4"/>
        <v>0</v>
      </c>
      <c r="M14" s="326">
        <f t="shared" si="4"/>
        <v>0</v>
      </c>
      <c r="N14" s="326">
        <f t="shared" si="4"/>
        <v>0</v>
      </c>
      <c r="O14" s="326">
        <f t="shared" si="4"/>
        <v>0</v>
      </c>
      <c r="P14" s="326">
        <f>E14+J14</f>
        <v>988966</v>
      </c>
    </row>
    <row r="15" spans="1:16" ht="320.25" x14ac:dyDescent="0.2">
      <c r="A15" s="394" t="s">
        <v>331</v>
      </c>
      <c r="B15" s="394" t="s">
        <v>332</v>
      </c>
      <c r="C15" s="394" t="s">
        <v>333</v>
      </c>
      <c r="D15" s="394" t="s">
        <v>330</v>
      </c>
      <c r="E15" s="311">
        <f>'d3'!E15-'d3-чистий'!E15</f>
        <v>622916</v>
      </c>
      <c r="F15" s="311">
        <f>'d3'!F15-'d3-чистий'!F15</f>
        <v>622916</v>
      </c>
      <c r="G15" s="311">
        <f>'d3'!G15-'d3-чистий'!G15</f>
        <v>1245600</v>
      </c>
      <c r="H15" s="311">
        <f>'d3'!H15-'d3-чистий'!H15</f>
        <v>-459960</v>
      </c>
      <c r="I15" s="311">
        <f>'d3'!I15-'d3-чистий'!I15</f>
        <v>0</v>
      </c>
      <c r="J15" s="311">
        <f>'d3'!J15-'d3-чистий'!J15</f>
        <v>0</v>
      </c>
      <c r="K15" s="311">
        <f>'d3'!K15-'d3-чистий'!K15</f>
        <v>0</v>
      </c>
      <c r="L15" s="311">
        <f>'d3'!L15-'d3-чистий'!L15</f>
        <v>0</v>
      </c>
      <c r="M15" s="311">
        <f>'d3'!M15-'d3-чистий'!M15</f>
        <v>0</v>
      </c>
      <c r="N15" s="311">
        <f>'d3'!N15-'d3-чистий'!N15</f>
        <v>0</v>
      </c>
      <c r="O15" s="311">
        <f>'d3'!O15-'d3-чистий'!O15</f>
        <v>0</v>
      </c>
      <c r="P15" s="311">
        <f>'d3'!P15-'d3-чистий'!P15</f>
        <v>622916</v>
      </c>
    </row>
    <row r="16" spans="1:16" ht="91.5" x14ac:dyDescent="0.2">
      <c r="A16" s="394" t="s">
        <v>347</v>
      </c>
      <c r="B16" s="394" t="s">
        <v>71</v>
      </c>
      <c r="C16" s="394" t="s">
        <v>70</v>
      </c>
      <c r="D16" s="394" t="s">
        <v>348</v>
      </c>
      <c r="E16" s="311">
        <f>'d3'!E16-'d3-чистий'!E16</f>
        <v>0</v>
      </c>
      <c r="F16" s="311">
        <f>'d3'!F16-'d3-чистий'!F16</f>
        <v>0</v>
      </c>
      <c r="G16" s="311">
        <f>'d3'!G16-'d3-чистий'!G16</f>
        <v>0</v>
      </c>
      <c r="H16" s="311">
        <f>'d3'!H16-'d3-чистий'!H16</f>
        <v>0</v>
      </c>
      <c r="I16" s="311">
        <f>'d3'!I16-'d3-чистий'!I16</f>
        <v>0</v>
      </c>
      <c r="J16" s="311">
        <f>'d3'!J16-'d3-чистий'!J16</f>
        <v>0</v>
      </c>
      <c r="K16" s="311">
        <f>'d3'!K16-'d3-чистий'!K16</f>
        <v>0</v>
      </c>
      <c r="L16" s="311">
        <f>'d3'!L16-'d3-чистий'!L16</f>
        <v>0</v>
      </c>
      <c r="M16" s="311">
        <f>'d3'!M16-'d3-чистий'!M16</f>
        <v>0</v>
      </c>
      <c r="N16" s="311">
        <f>'d3'!N16-'d3-чистий'!N16</f>
        <v>0</v>
      </c>
      <c r="O16" s="311">
        <f>'d3'!O16-'d3-чистий'!O16</f>
        <v>0</v>
      </c>
      <c r="P16" s="311">
        <f>'d3'!P16-'d3-чистий'!P16</f>
        <v>0</v>
      </c>
    </row>
    <row r="17" spans="1:16" ht="91.5" x14ac:dyDescent="0.2">
      <c r="A17" s="394" t="s">
        <v>337</v>
      </c>
      <c r="B17" s="394" t="s">
        <v>338</v>
      </c>
      <c r="C17" s="394" t="s">
        <v>339</v>
      </c>
      <c r="D17" s="394" t="s">
        <v>336</v>
      </c>
      <c r="E17" s="311">
        <f>'d3'!E17-'d3-чистий'!E17</f>
        <v>0</v>
      </c>
      <c r="F17" s="311">
        <f>'d3'!F17-'d3-чистий'!F17</f>
        <v>0</v>
      </c>
      <c r="G17" s="311">
        <f>'d3'!G17-'d3-чистий'!G17</f>
        <v>0</v>
      </c>
      <c r="H17" s="311">
        <f>'d3'!H17-'d3-чистий'!H17</f>
        <v>0</v>
      </c>
      <c r="I17" s="311">
        <f>'d3'!I17-'d3-чистий'!I17</f>
        <v>0</v>
      </c>
      <c r="J17" s="311">
        <f>'d3'!J17-'d3-чистий'!J17</f>
        <v>0</v>
      </c>
      <c r="K17" s="311">
        <f>'d3'!K17-'d3-чистий'!K17</f>
        <v>0</v>
      </c>
      <c r="L17" s="311">
        <f>'d3'!L17-'d3-чистий'!L17</f>
        <v>0</v>
      </c>
      <c r="M17" s="311">
        <f>'d3'!M17-'d3-чистий'!M17</f>
        <v>0</v>
      </c>
      <c r="N17" s="311">
        <f>'d3'!N17-'d3-чистий'!N17</f>
        <v>0</v>
      </c>
      <c r="O17" s="311">
        <f>'d3'!O17-'d3-чистий'!O17</f>
        <v>0</v>
      </c>
      <c r="P17" s="311">
        <f>'d3'!P17-'d3-чистий'!P17</f>
        <v>0</v>
      </c>
    </row>
    <row r="18" spans="1:16" ht="137.25" x14ac:dyDescent="0.2">
      <c r="A18" s="394" t="s">
        <v>439</v>
      </c>
      <c r="B18" s="394" t="s">
        <v>440</v>
      </c>
      <c r="C18" s="394" t="s">
        <v>250</v>
      </c>
      <c r="D18" s="389" t="s">
        <v>438</v>
      </c>
      <c r="E18" s="311">
        <f>'d3'!E18-'d3-чистий'!E18</f>
        <v>-3950</v>
      </c>
      <c r="F18" s="311">
        <f>'d3'!F18-'d3-чистий'!F18</f>
        <v>-3950</v>
      </c>
      <c r="G18" s="311">
        <f>'d3'!G18-'d3-чистий'!G18</f>
        <v>0</v>
      </c>
      <c r="H18" s="311">
        <f>'d3'!H18-'d3-чистий'!H18</f>
        <v>0</v>
      </c>
      <c r="I18" s="311">
        <f>'d3'!I18-'d3-чистий'!I18</f>
        <v>0</v>
      </c>
      <c r="J18" s="311">
        <f>'d3'!J18-'d3-чистий'!J18</f>
        <v>0</v>
      </c>
      <c r="K18" s="311">
        <f>'d3'!K18-'d3-чистий'!K18</f>
        <v>0</v>
      </c>
      <c r="L18" s="311">
        <f>'d3'!L18-'d3-чистий'!L18</f>
        <v>0</v>
      </c>
      <c r="M18" s="311">
        <f>'d3'!M18-'d3-чистий'!M18</f>
        <v>0</v>
      </c>
      <c r="N18" s="311">
        <f>'d3'!N18-'d3-чистий'!N18</f>
        <v>0</v>
      </c>
      <c r="O18" s="311">
        <f>'d3'!O18-'d3-чистий'!O18</f>
        <v>0</v>
      </c>
      <c r="P18" s="311">
        <f>'d3'!P18-'d3-чистий'!P18</f>
        <v>-3950</v>
      </c>
    </row>
    <row r="19" spans="1:16" s="118" customFormat="1" ht="409.5" x14ac:dyDescent="0.2">
      <c r="A19" s="476" t="s">
        <v>526</v>
      </c>
      <c r="B19" s="476" t="s">
        <v>525</v>
      </c>
      <c r="C19" s="476" t="s">
        <v>250</v>
      </c>
      <c r="D19" s="267" t="s">
        <v>536</v>
      </c>
      <c r="E19" s="491">
        <f>'d3'!E19-'d3-чистий'!E19</f>
        <v>0</v>
      </c>
      <c r="F19" s="491">
        <f>'d3'!F19-'d3-чистий'!F19</f>
        <v>0</v>
      </c>
      <c r="G19" s="491">
        <f>'d3'!G19-'d3-чистий'!G19</f>
        <v>0</v>
      </c>
      <c r="H19" s="491">
        <f>'d3'!H19-'d3-чистий'!H19</f>
        <v>0</v>
      </c>
      <c r="I19" s="491">
        <f>'d3'!I19-'d3-чистий'!I19</f>
        <v>0</v>
      </c>
      <c r="J19" s="491">
        <f>'d3'!J19-'d3-чистий'!J19</f>
        <v>0</v>
      </c>
      <c r="K19" s="491">
        <f>'d3'!K19-'d3-чистий'!K19</f>
        <v>0</v>
      </c>
      <c r="L19" s="491">
        <f>'d3'!L19-'d3-чистий'!L19</f>
        <v>0</v>
      </c>
      <c r="M19" s="491">
        <f>'d3'!M19-'d3-чистий'!M19</f>
        <v>0</v>
      </c>
      <c r="N19" s="491">
        <f>'d3'!N19-'d3-чистий'!N19</f>
        <v>0</v>
      </c>
      <c r="O19" s="491">
        <f>'d3'!O19-'d3-чистий'!O19</f>
        <v>0</v>
      </c>
      <c r="P19" s="491">
        <f>'d3'!P19-'d3-чистий'!P19</f>
        <v>0</v>
      </c>
    </row>
    <row r="20" spans="1:16" s="118" customFormat="1" ht="137.25" x14ac:dyDescent="0.2">
      <c r="A20" s="477"/>
      <c r="B20" s="477"/>
      <c r="C20" s="477"/>
      <c r="D20" s="268" t="s">
        <v>537</v>
      </c>
      <c r="E20" s="469"/>
      <c r="F20" s="469"/>
      <c r="G20" s="469"/>
      <c r="H20" s="469"/>
      <c r="I20" s="469"/>
      <c r="J20" s="469"/>
      <c r="K20" s="469"/>
      <c r="L20" s="469"/>
      <c r="M20" s="469"/>
      <c r="N20" s="469"/>
      <c r="O20" s="469"/>
      <c r="P20" s="469"/>
    </row>
    <row r="21" spans="1:16" ht="91.5" x14ac:dyDescent="0.2">
      <c r="A21" s="394" t="s">
        <v>340</v>
      </c>
      <c r="B21" s="394" t="s">
        <v>341</v>
      </c>
      <c r="C21" s="394" t="s">
        <v>342</v>
      </c>
      <c r="D21" s="389" t="s">
        <v>343</v>
      </c>
      <c r="E21" s="311">
        <f>'d3'!E21-'d3-чистий'!E21</f>
        <v>0</v>
      </c>
      <c r="F21" s="311">
        <f>'d3'!F21-'d3-чистий'!F21</f>
        <v>0</v>
      </c>
      <c r="G21" s="311">
        <f>'d3'!G21-'d3-чистий'!G21</f>
        <v>0</v>
      </c>
      <c r="H21" s="311">
        <f>'d3'!H21-'d3-чистий'!H21</f>
        <v>0</v>
      </c>
      <c r="I21" s="311">
        <f>'d3'!I21-'d3-чистий'!I21</f>
        <v>0</v>
      </c>
      <c r="J21" s="311">
        <f>'d3'!J21-'d3-чистий'!J21</f>
        <v>0</v>
      </c>
      <c r="K21" s="311">
        <f>'d3'!K21-'d3-чистий'!K21</f>
        <v>0</v>
      </c>
      <c r="L21" s="311">
        <f>'d3'!L21-'d3-чистий'!L21</f>
        <v>0</v>
      </c>
      <c r="M21" s="311">
        <f>'d3'!M21-'d3-чистий'!M21</f>
        <v>0</v>
      </c>
      <c r="N21" s="311">
        <f>'d3'!N21-'d3-чистий'!N21</f>
        <v>0</v>
      </c>
      <c r="O21" s="311">
        <f>'d3'!O21-'d3-чистий'!O21</f>
        <v>0</v>
      </c>
      <c r="P21" s="311">
        <f>'d3'!P21-'d3-чистий'!P21</f>
        <v>0</v>
      </c>
    </row>
    <row r="22" spans="1:16" ht="274.5" x14ac:dyDescent="0.2">
      <c r="A22" s="394" t="s">
        <v>344</v>
      </c>
      <c r="B22" s="394" t="s">
        <v>345</v>
      </c>
      <c r="C22" s="394" t="s">
        <v>71</v>
      </c>
      <c r="D22" s="394" t="s">
        <v>346</v>
      </c>
      <c r="E22" s="311">
        <f>'d3'!E22-'d3-чистий'!E22</f>
        <v>0</v>
      </c>
      <c r="F22" s="311">
        <f>'d3'!F22-'d3-чистий'!F22</f>
        <v>0</v>
      </c>
      <c r="G22" s="311">
        <f>'d3'!G22-'d3-чистий'!G22</f>
        <v>0</v>
      </c>
      <c r="H22" s="311">
        <f>'d3'!H22-'d3-чистий'!H22</f>
        <v>0</v>
      </c>
      <c r="I22" s="311">
        <f>'d3'!I22-'d3-чистий'!I22</f>
        <v>0</v>
      </c>
      <c r="J22" s="311">
        <f>'d3'!J22-'d3-чистий'!J22</f>
        <v>0</v>
      </c>
      <c r="K22" s="311">
        <f>'d3'!K22-'d3-чистий'!K22</f>
        <v>0</v>
      </c>
      <c r="L22" s="311">
        <f>'d3'!L22-'d3-чистий'!L22</f>
        <v>0</v>
      </c>
      <c r="M22" s="311">
        <f>'d3'!M22-'d3-чистий'!M22</f>
        <v>0</v>
      </c>
      <c r="N22" s="311">
        <f>'d3'!N22-'d3-чистий'!N22</f>
        <v>0</v>
      </c>
      <c r="O22" s="311">
        <f>'d3'!O22-'d3-чистий'!O22</f>
        <v>0</v>
      </c>
      <c r="P22" s="311">
        <f>'d3'!P22-'d3-чистий'!P22</f>
        <v>0</v>
      </c>
    </row>
    <row r="23" spans="1:16" ht="91.5" x14ac:dyDescent="0.2">
      <c r="A23" s="394" t="s">
        <v>840</v>
      </c>
      <c r="B23" s="394" t="s">
        <v>587</v>
      </c>
      <c r="C23" s="394" t="s">
        <v>71</v>
      </c>
      <c r="D23" s="394" t="s">
        <v>588</v>
      </c>
      <c r="E23" s="311">
        <f>'d3'!E23-'d3-чистий'!E23</f>
        <v>0</v>
      </c>
      <c r="F23" s="311">
        <f>'d3'!F23-'d3-чистий'!F23</f>
        <v>0</v>
      </c>
      <c r="G23" s="311">
        <f>'d3'!G23-'d3-чистий'!G23</f>
        <v>0</v>
      </c>
      <c r="H23" s="311">
        <f>'d3'!H23-'d3-чистий'!H23</f>
        <v>0</v>
      </c>
      <c r="I23" s="311">
        <f>'d3'!I23-'d3-чистий'!I23</f>
        <v>0</v>
      </c>
      <c r="J23" s="311">
        <f>'d3'!J23-'d3-чистий'!J23</f>
        <v>0</v>
      </c>
      <c r="K23" s="311">
        <f>'d3'!K23-'d3-чистий'!K23</f>
        <v>0</v>
      </c>
      <c r="L23" s="311">
        <f>'d3'!L23-'d3-чистий'!L23</f>
        <v>0</v>
      </c>
      <c r="M23" s="311">
        <f>'d3'!M23-'d3-чистий'!M23</f>
        <v>0</v>
      </c>
      <c r="N23" s="311">
        <f>'d3'!N23-'d3-чистий'!N23</f>
        <v>0</v>
      </c>
      <c r="O23" s="311">
        <f>'d3'!O23-'d3-чистий'!O23</f>
        <v>0</v>
      </c>
      <c r="P23" s="311">
        <f>'d3'!P23-'d3-чистий'!P23</f>
        <v>0</v>
      </c>
    </row>
    <row r="24" spans="1:16" ht="183" x14ac:dyDescent="0.2">
      <c r="A24" s="394" t="s">
        <v>842</v>
      </c>
      <c r="B24" s="394" t="s">
        <v>843</v>
      </c>
      <c r="C24" s="394" t="s">
        <v>71</v>
      </c>
      <c r="D24" s="394" t="s">
        <v>841</v>
      </c>
      <c r="E24" s="311">
        <f>'d3'!E24-'d3-чистий'!E24</f>
        <v>370000</v>
      </c>
      <c r="F24" s="311">
        <f>'d3'!F24-'d3-чистий'!F24</f>
        <v>370000</v>
      </c>
      <c r="G24" s="311">
        <f>'d3'!G24-'d3-чистий'!G24</f>
        <v>0</v>
      </c>
      <c r="H24" s="311">
        <f>'d3'!H24-'d3-чистий'!H24</f>
        <v>0</v>
      </c>
      <c r="I24" s="311">
        <f>'d3'!I24-'d3-чистий'!I24</f>
        <v>0</v>
      </c>
      <c r="J24" s="311">
        <f>'d3'!J24-'d3-чистий'!J24</f>
        <v>0</v>
      </c>
      <c r="K24" s="311">
        <f>'d3'!K24-'d3-чистий'!K24</f>
        <v>0</v>
      </c>
      <c r="L24" s="311">
        <f>'d3'!L24-'d3-чистий'!L24</f>
        <v>0</v>
      </c>
      <c r="M24" s="311">
        <f>'d3'!M24-'d3-чистий'!M24</f>
        <v>0</v>
      </c>
      <c r="N24" s="311">
        <f>'d3'!N24-'d3-чистий'!N24</f>
        <v>0</v>
      </c>
      <c r="O24" s="311">
        <f>'d3'!O24-'d3-чистий'!O24</f>
        <v>0</v>
      </c>
      <c r="P24" s="311">
        <f>'d3'!P24-'d3-чистий'!P24</f>
        <v>370000</v>
      </c>
    </row>
    <row r="25" spans="1:16" ht="135" x14ac:dyDescent="0.2">
      <c r="A25" s="327" t="s">
        <v>232</v>
      </c>
      <c r="B25" s="327"/>
      <c r="C25" s="327"/>
      <c r="D25" s="328" t="s">
        <v>0</v>
      </c>
      <c r="E25" s="329">
        <f>E26</f>
        <v>2014218</v>
      </c>
      <c r="F25" s="329">
        <f t="shared" ref="F25:G25" si="5">F26</f>
        <v>2014218</v>
      </c>
      <c r="G25" s="329">
        <f t="shared" si="5"/>
        <v>3738000</v>
      </c>
      <c r="H25" s="329">
        <f>H26</f>
        <v>-5412935</v>
      </c>
      <c r="I25" s="329">
        <f t="shared" ref="I25" si="6">I26</f>
        <v>0</v>
      </c>
      <c r="J25" s="329">
        <f>J26</f>
        <v>-1547095</v>
      </c>
      <c r="K25" s="329">
        <f>K26</f>
        <v>-1547095</v>
      </c>
      <c r="L25" s="329">
        <f>L26</f>
        <v>0</v>
      </c>
      <c r="M25" s="329">
        <f t="shared" ref="M25" si="7">M26</f>
        <v>0</v>
      </c>
      <c r="N25" s="329">
        <f>N26</f>
        <v>0</v>
      </c>
      <c r="O25" s="329">
        <f>O26</f>
        <v>-1547095</v>
      </c>
      <c r="P25" s="329">
        <f t="shared" ref="P25" si="8">P26</f>
        <v>467123</v>
      </c>
    </row>
    <row r="26" spans="1:16" ht="135" x14ac:dyDescent="0.2">
      <c r="A26" s="324" t="s">
        <v>233</v>
      </c>
      <c r="B26" s="324"/>
      <c r="C26" s="324"/>
      <c r="D26" s="325" t="s">
        <v>1</v>
      </c>
      <c r="E26" s="326">
        <f>SUM(E27:E38)</f>
        <v>2014218</v>
      </c>
      <c r="F26" s="326">
        <f>SUM(F27:F38)</f>
        <v>2014218</v>
      </c>
      <c r="G26" s="326">
        <f>SUM(G27:G38)</f>
        <v>3738000</v>
      </c>
      <c r="H26" s="326">
        <f>SUM(H27:H38)</f>
        <v>-5412935</v>
      </c>
      <c r="I26" s="326">
        <f>SUM(I27:I38)</f>
        <v>0</v>
      </c>
      <c r="J26" s="326">
        <f>L26+O26</f>
        <v>-1547095</v>
      </c>
      <c r="K26" s="326">
        <f>SUM(K27:K38)</f>
        <v>-1547095</v>
      </c>
      <c r="L26" s="326">
        <f>SUM(L27:L38)</f>
        <v>0</v>
      </c>
      <c r="M26" s="326">
        <f>SUM(M27:M38)</f>
        <v>0</v>
      </c>
      <c r="N26" s="326">
        <f>SUM(N27:N38)</f>
        <v>0</v>
      </c>
      <c r="O26" s="326">
        <f>SUM(O27:O38)</f>
        <v>-1547095</v>
      </c>
      <c r="P26" s="326">
        <f t="shared" ref="P26" si="9">E26+J26</f>
        <v>467123</v>
      </c>
    </row>
    <row r="27" spans="1:16" ht="46.5" x14ac:dyDescent="0.2">
      <c r="A27" s="394" t="s">
        <v>288</v>
      </c>
      <c r="B27" s="394" t="s">
        <v>289</v>
      </c>
      <c r="C27" s="394" t="s">
        <v>291</v>
      </c>
      <c r="D27" s="394" t="s">
        <v>292</v>
      </c>
      <c r="E27" s="311">
        <f>'d3'!E27-'d3-чистий'!E27</f>
        <v>-1693619</v>
      </c>
      <c r="F27" s="311">
        <f>'d3'!F27-'d3-чистий'!F27</f>
        <v>-1693619</v>
      </c>
      <c r="G27" s="311">
        <f>'d3'!G27-'d3-чистий'!G27</f>
        <v>-450000</v>
      </c>
      <c r="H27" s="311">
        <f>'d3'!H27-'d3-чистий'!H27</f>
        <v>-1528000</v>
      </c>
      <c r="I27" s="311">
        <f>'d3'!I27-'d3-чистий'!I27</f>
        <v>0</v>
      </c>
      <c r="J27" s="311">
        <f>'d3'!J27-'d3-чистий'!J27</f>
        <v>6750</v>
      </c>
      <c r="K27" s="311">
        <f>'d3'!K27-'d3-чистий'!K27</f>
        <v>6750</v>
      </c>
      <c r="L27" s="311">
        <f>'d3'!L27-'d3-чистий'!L27</f>
        <v>0</v>
      </c>
      <c r="M27" s="311">
        <f>'d3'!M27-'d3-чистий'!M27</f>
        <v>0</v>
      </c>
      <c r="N27" s="311">
        <f>'d3'!N27-'d3-чистий'!N27</f>
        <v>0</v>
      </c>
      <c r="O27" s="311">
        <f>'d3'!O27-'d3-чистий'!O27</f>
        <v>6750</v>
      </c>
      <c r="P27" s="311">
        <f>'d3'!P27-'d3-чистий'!P27</f>
        <v>-1686869</v>
      </c>
    </row>
    <row r="28" spans="1:16" ht="366" x14ac:dyDescent="0.2">
      <c r="A28" s="394" t="s">
        <v>294</v>
      </c>
      <c r="B28" s="394" t="s">
        <v>290</v>
      </c>
      <c r="C28" s="394" t="s">
        <v>295</v>
      </c>
      <c r="D28" s="394" t="s">
        <v>612</v>
      </c>
      <c r="E28" s="311">
        <f>'d3'!E28-'d3-чистий'!E28</f>
        <v>6183014</v>
      </c>
      <c r="F28" s="311">
        <f>'d3'!F28-'d3-чистий'!F28</f>
        <v>6183014</v>
      </c>
      <c r="G28" s="311">
        <f>'d3'!G28-'d3-чистий'!G28</f>
        <v>4188000</v>
      </c>
      <c r="H28" s="311">
        <f>'d3'!H28-'d3-чистий'!H28</f>
        <v>-2000000</v>
      </c>
      <c r="I28" s="311">
        <f>'d3'!I28-'d3-чистий'!I28</f>
        <v>0</v>
      </c>
      <c r="J28" s="311">
        <f>'d3'!J28-'d3-чистий'!J28</f>
        <v>-2442545</v>
      </c>
      <c r="K28" s="311">
        <f>'d3'!K28-'d3-чистий'!K28</f>
        <v>-2442545</v>
      </c>
      <c r="L28" s="311">
        <f>'d3'!L28-'d3-чистий'!L28</f>
        <v>0</v>
      </c>
      <c r="M28" s="311">
        <f>'d3'!M28-'d3-чистий'!M28</f>
        <v>0</v>
      </c>
      <c r="N28" s="311">
        <f>'d3'!N28-'d3-чистий'!N28</f>
        <v>0</v>
      </c>
      <c r="O28" s="311">
        <f>'d3'!O28-'d3-чистий'!O28</f>
        <v>-2442545</v>
      </c>
      <c r="P28" s="311">
        <f>'d3'!P28-'d3-чистий'!P28</f>
        <v>3740469</v>
      </c>
    </row>
    <row r="29" spans="1:16" ht="366" x14ac:dyDescent="0.2">
      <c r="A29" s="394" t="s">
        <v>298</v>
      </c>
      <c r="B29" s="394" t="s">
        <v>297</v>
      </c>
      <c r="C29" s="394" t="s">
        <v>299</v>
      </c>
      <c r="D29" s="394" t="s">
        <v>32</v>
      </c>
      <c r="E29" s="311">
        <f>'d3'!E29-'d3-чистий'!E29</f>
        <v>-348000</v>
      </c>
      <c r="F29" s="311">
        <f>'d3'!F29-'d3-чистий'!F29</f>
        <v>-348000</v>
      </c>
      <c r="G29" s="311">
        <f>'d3'!G29-'d3-чистий'!G29</f>
        <v>0</v>
      </c>
      <c r="H29" s="311">
        <f>'d3'!H29-'d3-чистий'!H29</f>
        <v>-300000</v>
      </c>
      <c r="I29" s="311">
        <f>'d3'!I29-'d3-чистий'!I29</f>
        <v>0</v>
      </c>
      <c r="J29" s="311">
        <f>'d3'!J29-'d3-чистий'!J29</f>
        <v>0</v>
      </c>
      <c r="K29" s="311">
        <f>'d3'!K29-'d3-чистий'!K29</f>
        <v>0</v>
      </c>
      <c r="L29" s="311">
        <f>'d3'!L29-'d3-чистий'!L29</f>
        <v>0</v>
      </c>
      <c r="M29" s="311">
        <f>'d3'!M29-'d3-чистий'!M29</f>
        <v>0</v>
      </c>
      <c r="N29" s="311">
        <f>'d3'!N29-'d3-чистий'!N29</f>
        <v>0</v>
      </c>
      <c r="O29" s="311">
        <f>'d3'!O29-'d3-чистий'!O29</f>
        <v>0</v>
      </c>
      <c r="P29" s="311">
        <f>'d3'!P29-'d3-чистий'!P29</f>
        <v>-348000</v>
      </c>
    </row>
    <row r="30" spans="1:16" ht="183" x14ac:dyDescent="0.2">
      <c r="A30" s="394" t="s">
        <v>300</v>
      </c>
      <c r="B30" s="394" t="s">
        <v>281</v>
      </c>
      <c r="C30" s="394" t="s">
        <v>269</v>
      </c>
      <c r="D30" s="394" t="s">
        <v>33</v>
      </c>
      <c r="E30" s="311">
        <f>'d3'!E30-'d3-чистий'!E30</f>
        <v>0</v>
      </c>
      <c r="F30" s="311">
        <f>'d3'!F30-'d3-чистий'!F30</f>
        <v>0</v>
      </c>
      <c r="G30" s="311">
        <f>'d3'!G30-'d3-чистий'!G30</f>
        <v>0</v>
      </c>
      <c r="H30" s="311">
        <f>'d3'!H30-'d3-чистий'!H30</f>
        <v>-24498</v>
      </c>
      <c r="I30" s="311">
        <f>'d3'!I30-'d3-чистий'!I30</f>
        <v>0</v>
      </c>
      <c r="J30" s="311">
        <f>'d3'!J30-'d3-чистий'!J30</f>
        <v>0</v>
      </c>
      <c r="K30" s="311">
        <f>'d3'!K30-'d3-чистий'!K30</f>
        <v>0</v>
      </c>
      <c r="L30" s="311">
        <f>'d3'!L30-'d3-чистий'!L30</f>
        <v>0</v>
      </c>
      <c r="M30" s="311">
        <f>'d3'!M30-'d3-чистий'!M30</f>
        <v>0</v>
      </c>
      <c r="N30" s="311">
        <f>'d3'!N30-'d3-чистий'!N30</f>
        <v>0</v>
      </c>
      <c r="O30" s="311">
        <f>'d3'!O30-'d3-чистий'!O30</f>
        <v>0</v>
      </c>
      <c r="P30" s="311">
        <f>'d3'!P30-'d3-чистий'!P30</f>
        <v>0</v>
      </c>
    </row>
    <row r="31" spans="1:16" ht="137.25" x14ac:dyDescent="0.2">
      <c r="A31" s="394" t="s">
        <v>301</v>
      </c>
      <c r="B31" s="394" t="s">
        <v>302</v>
      </c>
      <c r="C31" s="394" t="s">
        <v>303</v>
      </c>
      <c r="D31" s="394" t="s">
        <v>304</v>
      </c>
      <c r="E31" s="311">
        <f>'d3'!E31-'d3-чистий'!E31</f>
        <v>-2152177</v>
      </c>
      <c r="F31" s="311">
        <f>'d3'!F31-'d3-чистий'!F31</f>
        <v>-2152177</v>
      </c>
      <c r="G31" s="311">
        <f>'d3'!G31-'d3-чистий'!G31</f>
        <v>0</v>
      </c>
      <c r="H31" s="311">
        <f>'d3'!H31-'d3-чистий'!H31</f>
        <v>-1560437</v>
      </c>
      <c r="I31" s="311">
        <f>'d3'!I31-'d3-чистий'!I31</f>
        <v>0</v>
      </c>
      <c r="J31" s="311">
        <f>'d3'!J31-'d3-чистий'!J31</f>
        <v>138700</v>
      </c>
      <c r="K31" s="311">
        <f>'d3'!K31-'d3-чистий'!K31</f>
        <v>138700</v>
      </c>
      <c r="L31" s="311">
        <f>'d3'!L31-'d3-чистий'!L31</f>
        <v>0</v>
      </c>
      <c r="M31" s="311">
        <f>'d3'!M31-'d3-чистий'!M31</f>
        <v>0</v>
      </c>
      <c r="N31" s="311">
        <f>'d3'!N31-'d3-чистий'!N31</f>
        <v>0</v>
      </c>
      <c r="O31" s="311">
        <f>'d3'!O31-'d3-чистий'!O31</f>
        <v>138700</v>
      </c>
      <c r="P31" s="311">
        <f>'d3'!P31-'d3-чистий'!P31</f>
        <v>-2013477</v>
      </c>
    </row>
    <row r="32" spans="1:16" ht="91.5" x14ac:dyDescent="0.2">
      <c r="A32" s="394" t="s">
        <v>306</v>
      </c>
      <c r="B32" s="394" t="s">
        <v>307</v>
      </c>
      <c r="C32" s="394" t="s">
        <v>308</v>
      </c>
      <c r="D32" s="394" t="s">
        <v>305</v>
      </c>
      <c r="E32" s="311">
        <f>'d3'!E32-'d3-чистий'!E32</f>
        <v>0</v>
      </c>
      <c r="F32" s="311">
        <f>'d3'!F32-'d3-чистий'!F32</f>
        <v>0</v>
      </c>
      <c r="G32" s="311">
        <f>'d3'!G32-'d3-чистий'!G32</f>
        <v>0</v>
      </c>
      <c r="H32" s="311">
        <f>'d3'!H32-'d3-чистий'!H32</f>
        <v>0</v>
      </c>
      <c r="I32" s="311">
        <f>'d3'!I32-'d3-чистий'!I32</f>
        <v>0</v>
      </c>
      <c r="J32" s="311">
        <f>'d3'!J32-'d3-чистий'!J32</f>
        <v>0</v>
      </c>
      <c r="K32" s="311">
        <f>'d3'!K32-'d3-чистий'!K32</f>
        <v>0</v>
      </c>
      <c r="L32" s="311">
        <f>'d3'!L32-'d3-чистий'!L32</f>
        <v>0</v>
      </c>
      <c r="M32" s="311">
        <f>'d3'!M32-'d3-чистий'!M32</f>
        <v>0</v>
      </c>
      <c r="N32" s="311">
        <f>'d3'!N32-'d3-чистий'!N32</f>
        <v>0</v>
      </c>
      <c r="O32" s="311">
        <f>'d3'!O32-'d3-чистий'!O32</f>
        <v>0</v>
      </c>
      <c r="P32" s="311">
        <f>'d3'!P32-'d3-чистий'!P32</f>
        <v>0</v>
      </c>
    </row>
    <row r="33" spans="1:16" s="118" customFormat="1" ht="91.5" x14ac:dyDescent="0.2">
      <c r="A33" s="389" t="s">
        <v>491</v>
      </c>
      <c r="B33" s="389" t="s">
        <v>492</v>
      </c>
      <c r="C33" s="389" t="s">
        <v>308</v>
      </c>
      <c r="D33" s="389" t="s">
        <v>490</v>
      </c>
      <c r="E33" s="311">
        <f>'d3'!E33-'d3-чистий'!E33</f>
        <v>0</v>
      </c>
      <c r="F33" s="311">
        <f>'d3'!F33-'d3-чистий'!F33</f>
        <v>0</v>
      </c>
      <c r="G33" s="311">
        <f>'d3'!G33-'d3-чистий'!G33</f>
        <v>0</v>
      </c>
      <c r="H33" s="311">
        <f>'d3'!H33-'d3-чистий'!H33</f>
        <v>0</v>
      </c>
      <c r="I33" s="311">
        <f>'d3'!I33-'d3-чистий'!I33</f>
        <v>0</v>
      </c>
      <c r="J33" s="311">
        <f>'d3'!J33-'d3-чистий'!J33</f>
        <v>0</v>
      </c>
      <c r="K33" s="311">
        <f>'d3'!K33-'d3-чистий'!K33</f>
        <v>0</v>
      </c>
      <c r="L33" s="311">
        <f>'d3'!L33-'d3-чистий'!L33</f>
        <v>0</v>
      </c>
      <c r="M33" s="311">
        <f>'d3'!M33-'d3-чистий'!M33</f>
        <v>0</v>
      </c>
      <c r="N33" s="311">
        <f>'d3'!N33-'d3-чистий'!N33</f>
        <v>0</v>
      </c>
      <c r="O33" s="311">
        <f>'d3'!O33-'d3-чистий'!O33</f>
        <v>0</v>
      </c>
      <c r="P33" s="311">
        <f>'d3'!P33-'d3-чистий'!P33</f>
        <v>0</v>
      </c>
    </row>
    <row r="34" spans="1:16" s="118" customFormat="1" ht="91.5" x14ac:dyDescent="0.2">
      <c r="A34" s="389" t="s">
        <v>523</v>
      </c>
      <c r="B34" s="389" t="s">
        <v>524</v>
      </c>
      <c r="C34" s="389" t="s">
        <v>308</v>
      </c>
      <c r="D34" s="394" t="s">
        <v>522</v>
      </c>
      <c r="E34" s="311">
        <f>'d3'!E34-'d3-чистий'!E34</f>
        <v>0</v>
      </c>
      <c r="F34" s="311">
        <f>'d3'!F34-'d3-чистий'!F34</f>
        <v>0</v>
      </c>
      <c r="G34" s="311">
        <f>'d3'!G34-'d3-чистий'!G34</f>
        <v>0</v>
      </c>
      <c r="H34" s="311">
        <f>'d3'!H34-'d3-чистий'!H34</f>
        <v>0</v>
      </c>
      <c r="I34" s="311">
        <f>'d3'!I34-'d3-чистий'!I34</f>
        <v>0</v>
      </c>
      <c r="J34" s="311">
        <f>'d3'!J34-'d3-чистий'!J34</f>
        <v>0</v>
      </c>
      <c r="K34" s="311">
        <f>'d3'!K34-'d3-чистий'!K34</f>
        <v>0</v>
      </c>
      <c r="L34" s="311">
        <f>'d3'!L34-'d3-чистий'!L34</f>
        <v>0</v>
      </c>
      <c r="M34" s="311">
        <f>'d3'!M34-'d3-чистий'!M34</f>
        <v>0</v>
      </c>
      <c r="N34" s="311">
        <f>'d3'!N34-'d3-чистий'!N34</f>
        <v>0</v>
      </c>
      <c r="O34" s="311">
        <f>'d3'!O34-'d3-чистий'!O34</f>
        <v>0</v>
      </c>
      <c r="P34" s="311">
        <f>'d3'!P34-'d3-чистий'!P34</f>
        <v>0</v>
      </c>
    </row>
    <row r="35" spans="1:16" s="118" customFormat="1" ht="91.5" x14ac:dyDescent="0.2">
      <c r="A35" s="389" t="s">
        <v>797</v>
      </c>
      <c r="B35" s="389" t="s">
        <v>798</v>
      </c>
      <c r="C35" s="389" t="s">
        <v>308</v>
      </c>
      <c r="D35" s="394" t="s">
        <v>799</v>
      </c>
      <c r="E35" s="311">
        <f>'d3'!E35-'d3-чистий'!E35</f>
        <v>25000</v>
      </c>
      <c r="F35" s="311">
        <f>'d3'!F35-'d3-чистий'!F35</f>
        <v>25000</v>
      </c>
      <c r="G35" s="311">
        <f>'d3'!G35-'d3-чистий'!G35</f>
        <v>0</v>
      </c>
      <c r="H35" s="311">
        <f>'d3'!H35-'d3-чистий'!H35</f>
        <v>0</v>
      </c>
      <c r="I35" s="311">
        <f>'d3'!I35-'d3-чистий'!I35</f>
        <v>0</v>
      </c>
      <c r="J35" s="311">
        <f>'d3'!J35-'d3-чистий'!J35</f>
        <v>0</v>
      </c>
      <c r="K35" s="311">
        <f>'d3'!K35-'d3-чистий'!K35</f>
        <v>0</v>
      </c>
      <c r="L35" s="311">
        <f>'d3'!L35-'d3-чистий'!L35</f>
        <v>0</v>
      </c>
      <c r="M35" s="311">
        <f>'d3'!M35-'d3-чистий'!M35</f>
        <v>0</v>
      </c>
      <c r="N35" s="311">
        <f>'d3'!N35-'d3-чистий'!N35</f>
        <v>0</v>
      </c>
      <c r="O35" s="311">
        <f>'d3'!O35-'d3-чистий'!O35</f>
        <v>0</v>
      </c>
      <c r="P35" s="311">
        <f>'d3'!P35-'d3-чистий'!P35</f>
        <v>25000</v>
      </c>
    </row>
    <row r="36" spans="1:16" s="118" customFormat="1" ht="366" x14ac:dyDescent="0.2">
      <c r="A36" s="394" t="s">
        <v>801</v>
      </c>
      <c r="B36" s="394" t="s">
        <v>802</v>
      </c>
      <c r="C36" s="394" t="s">
        <v>273</v>
      </c>
      <c r="D36" s="394" t="s">
        <v>800</v>
      </c>
      <c r="E36" s="311">
        <f>'d3'!E36-'d3-чистий'!E36</f>
        <v>0</v>
      </c>
      <c r="F36" s="311">
        <f>'d3'!F36-'d3-чистий'!F36</f>
        <v>0</v>
      </c>
      <c r="G36" s="311">
        <f>'d3'!G36-'d3-чистий'!G36</f>
        <v>0</v>
      </c>
      <c r="H36" s="311">
        <f>'d3'!H36-'d3-чистий'!H36</f>
        <v>0</v>
      </c>
      <c r="I36" s="311">
        <f>'d3'!I36-'d3-чистий'!I36</f>
        <v>0</v>
      </c>
      <c r="J36" s="311">
        <f>'d3'!J36-'d3-чистий'!J36</f>
        <v>0</v>
      </c>
      <c r="K36" s="311">
        <f>'d3'!K36-'d3-чистий'!K36</f>
        <v>0</v>
      </c>
      <c r="L36" s="311">
        <f>'d3'!L36-'d3-чистий'!L36</f>
        <v>0</v>
      </c>
      <c r="M36" s="311">
        <f>'d3'!M36-'d3-чистий'!M36</f>
        <v>0</v>
      </c>
      <c r="N36" s="311">
        <f>'d3'!N36-'d3-чистий'!N36</f>
        <v>0</v>
      </c>
      <c r="O36" s="311">
        <f>'d3'!O36-'d3-чистий'!O36</f>
        <v>0</v>
      </c>
      <c r="P36" s="311">
        <f>'d3'!P36-'d3-чистий'!P36</f>
        <v>0</v>
      </c>
    </row>
    <row r="37" spans="1:16" s="118" customFormat="1" ht="183" x14ac:dyDescent="0.2">
      <c r="A37" s="394" t="s">
        <v>975</v>
      </c>
      <c r="B37" s="394" t="s">
        <v>974</v>
      </c>
      <c r="C37" s="394" t="s">
        <v>285</v>
      </c>
      <c r="D37" s="394" t="s">
        <v>976</v>
      </c>
      <c r="E37" s="311">
        <f>'d3'!E37-'d3-чистий'!E37</f>
        <v>0</v>
      </c>
      <c r="F37" s="311">
        <f>'d3'!F37-'d3-чистий'!F37</f>
        <v>0</v>
      </c>
      <c r="G37" s="311">
        <f>'d3'!G37-'d3-чистий'!G37</f>
        <v>0</v>
      </c>
      <c r="H37" s="311">
        <f>'d3'!H37-'d3-чистий'!H37</f>
        <v>0</v>
      </c>
      <c r="I37" s="311">
        <f>'d3'!I37-'d3-чистий'!I37</f>
        <v>0</v>
      </c>
      <c r="J37" s="311">
        <f>'d3'!J37-'d3-чистий'!J37</f>
        <v>750000</v>
      </c>
      <c r="K37" s="311">
        <f>'d3'!K37-'d3-чистий'!K37</f>
        <v>750000</v>
      </c>
      <c r="L37" s="311">
        <f>'d3'!L37-'d3-чистий'!L37</f>
        <v>0</v>
      </c>
      <c r="M37" s="311">
        <f>'d3'!M37-'d3-чистий'!M37</f>
        <v>0</v>
      </c>
      <c r="N37" s="311">
        <f>'d3'!N37-'d3-чистий'!N37</f>
        <v>0</v>
      </c>
      <c r="O37" s="311">
        <f>'d3'!O37-'d3-чистий'!O37</f>
        <v>750000</v>
      </c>
      <c r="P37" s="311">
        <f>'d3'!P37-'d3-чистий'!P37</f>
        <v>750000</v>
      </c>
    </row>
    <row r="38" spans="1:16" s="118" customFormat="1" ht="46.5" x14ac:dyDescent="0.2">
      <c r="A38" s="394" t="s">
        <v>310</v>
      </c>
      <c r="B38" s="394" t="s">
        <v>311</v>
      </c>
      <c r="C38" s="394" t="s">
        <v>312</v>
      </c>
      <c r="D38" s="394" t="s">
        <v>67</v>
      </c>
      <c r="E38" s="311">
        <f>'d3'!E38-'d3-чистий'!E38</f>
        <v>0</v>
      </c>
      <c r="F38" s="311">
        <f>'d3'!F38-'d3-чистий'!F38</f>
        <v>0</v>
      </c>
      <c r="G38" s="311">
        <f>'d3'!G38-'d3-чистий'!G38</f>
        <v>0</v>
      </c>
      <c r="H38" s="311">
        <f>'d3'!H38-'d3-чистий'!H38</f>
        <v>0</v>
      </c>
      <c r="I38" s="311">
        <f>'d3'!I38-'d3-чистий'!I38</f>
        <v>0</v>
      </c>
      <c r="J38" s="311">
        <f>'d3'!J38-'d3-чистий'!J38</f>
        <v>0</v>
      </c>
      <c r="K38" s="311">
        <f>'d3'!K38-'d3-чистий'!K38</f>
        <v>0</v>
      </c>
      <c r="L38" s="311">
        <f>'d3'!L38-'d3-чистий'!L38</f>
        <v>0</v>
      </c>
      <c r="M38" s="311">
        <f>'d3'!M38-'d3-чистий'!M38</f>
        <v>0</v>
      </c>
      <c r="N38" s="311">
        <f>'d3'!N38-'d3-чистий'!N38</f>
        <v>0</v>
      </c>
      <c r="O38" s="311">
        <f>'d3'!O38-'d3-чистий'!O38</f>
        <v>0</v>
      </c>
      <c r="P38" s="311">
        <f>'d3'!P38-'d3-чистий'!P38</f>
        <v>0</v>
      </c>
    </row>
    <row r="39" spans="1:16" ht="135" x14ac:dyDescent="0.2">
      <c r="A39" s="327" t="s">
        <v>234</v>
      </c>
      <c r="B39" s="327"/>
      <c r="C39" s="327"/>
      <c r="D39" s="328" t="s">
        <v>36</v>
      </c>
      <c r="E39" s="329">
        <f>E40</f>
        <v>-1560100</v>
      </c>
      <c r="F39" s="329">
        <f t="shared" ref="F39:G39" si="10">F40</f>
        <v>-1560100</v>
      </c>
      <c r="G39" s="329">
        <f t="shared" si="10"/>
        <v>-260800</v>
      </c>
      <c r="H39" s="329">
        <f>H40</f>
        <v>-29533</v>
      </c>
      <c r="I39" s="329">
        <f t="shared" ref="I39" si="11">I40</f>
        <v>0</v>
      </c>
      <c r="J39" s="329">
        <f>J40</f>
        <v>-497380</v>
      </c>
      <c r="K39" s="329">
        <f>K40</f>
        <v>-497380</v>
      </c>
      <c r="L39" s="329">
        <f>L40</f>
        <v>0</v>
      </c>
      <c r="M39" s="329">
        <f t="shared" ref="M39" si="12">M40</f>
        <v>0</v>
      </c>
      <c r="N39" s="329">
        <f>N40</f>
        <v>0</v>
      </c>
      <c r="O39" s="329">
        <f>O40</f>
        <v>-497380</v>
      </c>
      <c r="P39" s="329">
        <f>P40</f>
        <v>-2057480</v>
      </c>
    </row>
    <row r="40" spans="1:16" ht="135" x14ac:dyDescent="0.2">
      <c r="A40" s="324" t="s">
        <v>235</v>
      </c>
      <c r="B40" s="324"/>
      <c r="C40" s="324"/>
      <c r="D40" s="325" t="s">
        <v>59</v>
      </c>
      <c r="E40" s="326">
        <f>SUM(E41:E52)</f>
        <v>-1560100</v>
      </c>
      <c r="F40" s="326">
        <f t="shared" ref="F40:H40" si="13">SUM(F41:F52)</f>
        <v>-1560100</v>
      </c>
      <c r="G40" s="326">
        <f t="shared" si="13"/>
        <v>-260800</v>
      </c>
      <c r="H40" s="326">
        <f t="shared" si="13"/>
        <v>-29533</v>
      </c>
      <c r="I40" s="326">
        <f>SUM(I41:I52)</f>
        <v>0</v>
      </c>
      <c r="J40" s="326">
        <f>L40+O40</f>
        <v>-497380</v>
      </c>
      <c r="K40" s="326">
        <f>SUM(K41:K52)</f>
        <v>-497380</v>
      </c>
      <c r="L40" s="326">
        <f t="shared" ref="L40:N40" si="14">SUM(L41:L52)</f>
        <v>0</v>
      </c>
      <c r="M40" s="326">
        <f t="shared" si="14"/>
        <v>0</v>
      </c>
      <c r="N40" s="326">
        <f t="shared" si="14"/>
        <v>0</v>
      </c>
      <c r="O40" s="326">
        <f>SUM(O41:O52)</f>
        <v>-497380</v>
      </c>
      <c r="P40" s="326">
        <f t="shared" ref="P40" si="15">E40+J40</f>
        <v>-2057480</v>
      </c>
    </row>
    <row r="41" spans="1:16" ht="228.75" x14ac:dyDescent="0.2">
      <c r="A41" s="394" t="s">
        <v>705</v>
      </c>
      <c r="B41" s="394" t="s">
        <v>335</v>
      </c>
      <c r="C41" s="394" t="s">
        <v>333</v>
      </c>
      <c r="D41" s="394" t="s">
        <v>334</v>
      </c>
      <c r="E41" s="311">
        <f>'d3'!E41-'d3-чистий'!E41</f>
        <v>-243800</v>
      </c>
      <c r="F41" s="311">
        <f>'d3'!F41-'d3-чистий'!F41</f>
        <v>-243800</v>
      </c>
      <c r="G41" s="311">
        <f>'d3'!G41-'d3-чистий'!G41</f>
        <v>-200800</v>
      </c>
      <c r="H41" s="311">
        <f>'d3'!H41-'d3-чистий'!H41</f>
        <v>0</v>
      </c>
      <c r="I41" s="311">
        <f>'d3'!I41-'d3-чистий'!I41</f>
        <v>0</v>
      </c>
      <c r="J41" s="311">
        <f>'d3'!J41-'d3-чистий'!J41</f>
        <v>0</v>
      </c>
      <c r="K41" s="311">
        <f>'d3'!K41-'d3-чистий'!K41</f>
        <v>0</v>
      </c>
      <c r="L41" s="311">
        <f>'d3'!L41-'d3-чистий'!L41</f>
        <v>0</v>
      </c>
      <c r="M41" s="311">
        <f>'d3'!M41-'d3-чистий'!M41</f>
        <v>0</v>
      </c>
      <c r="N41" s="311">
        <f>'d3'!N41-'d3-чистий'!N41</f>
        <v>0</v>
      </c>
      <c r="O41" s="311">
        <f>'d3'!O41-'d3-чистий'!O41</f>
        <v>0</v>
      </c>
      <c r="P41" s="311">
        <f>'d3'!P41-'d3-чистий'!P41</f>
        <v>-243800</v>
      </c>
    </row>
    <row r="42" spans="1:16" ht="91.5" x14ac:dyDescent="0.2">
      <c r="A42" s="394" t="s">
        <v>313</v>
      </c>
      <c r="B42" s="394" t="s">
        <v>309</v>
      </c>
      <c r="C42" s="394" t="s">
        <v>314</v>
      </c>
      <c r="D42" s="394" t="s">
        <v>37</v>
      </c>
      <c r="E42" s="311">
        <f>'d3'!E42-'d3-чистий'!E42</f>
        <v>-200000</v>
      </c>
      <c r="F42" s="311">
        <f>'d3'!F42-'d3-чистий'!F42</f>
        <v>-200000</v>
      </c>
      <c r="G42" s="311">
        <f>'d3'!G42-'d3-чистий'!G42</f>
        <v>0</v>
      </c>
      <c r="H42" s="311">
        <f>'d3'!H42-'d3-чистий'!H42</f>
        <v>0</v>
      </c>
      <c r="I42" s="311">
        <f>'d3'!I42-'d3-чистий'!I42</f>
        <v>0</v>
      </c>
      <c r="J42" s="311">
        <f>'d3'!J42-'d3-чистий'!J42</f>
        <v>-552680</v>
      </c>
      <c r="K42" s="311">
        <f>'d3'!K42-'d3-чистий'!K42</f>
        <v>-552680</v>
      </c>
      <c r="L42" s="311">
        <f>'d3'!L42-'d3-чистий'!L42</f>
        <v>0</v>
      </c>
      <c r="M42" s="311">
        <f>'d3'!M42-'d3-чистий'!M42</f>
        <v>0</v>
      </c>
      <c r="N42" s="311">
        <f>'d3'!N42-'d3-чистий'!N42</f>
        <v>0</v>
      </c>
      <c r="O42" s="311">
        <f>'d3'!O42-'d3-чистий'!O42</f>
        <v>-552680</v>
      </c>
      <c r="P42" s="311">
        <f>'d3'!P42-'d3-чистий'!P42</f>
        <v>-752680</v>
      </c>
    </row>
    <row r="43" spans="1:16" ht="137.25" x14ac:dyDescent="0.2">
      <c r="A43" s="394" t="s">
        <v>315</v>
      </c>
      <c r="B43" s="394" t="s">
        <v>316</v>
      </c>
      <c r="C43" s="394" t="s">
        <v>317</v>
      </c>
      <c r="D43" s="394" t="s">
        <v>318</v>
      </c>
      <c r="E43" s="311">
        <f>'d3'!E43-'d3-чистий'!E43</f>
        <v>-30000</v>
      </c>
      <c r="F43" s="311">
        <f>'d3'!F43-'d3-чистий'!F43</f>
        <v>-30000</v>
      </c>
      <c r="G43" s="311">
        <f>'d3'!G43-'d3-чистий'!G43</f>
        <v>0</v>
      </c>
      <c r="H43" s="311">
        <f>'d3'!H43-'d3-чистий'!H43</f>
        <v>0</v>
      </c>
      <c r="I43" s="311">
        <f>'d3'!I43-'d3-чистий'!I43</f>
        <v>0</v>
      </c>
      <c r="J43" s="311">
        <f>'d3'!J43-'d3-чистий'!J43</f>
        <v>0</v>
      </c>
      <c r="K43" s="311">
        <f>'d3'!K43-'d3-чистий'!K43</f>
        <v>0</v>
      </c>
      <c r="L43" s="311">
        <f>'d3'!L43-'d3-чистий'!L43</f>
        <v>0</v>
      </c>
      <c r="M43" s="311">
        <f>'d3'!M43-'d3-чистий'!M43</f>
        <v>0</v>
      </c>
      <c r="N43" s="311">
        <f>'d3'!N43-'d3-чистий'!N43</f>
        <v>0</v>
      </c>
      <c r="O43" s="311">
        <f>'d3'!O43-'d3-чистий'!O43</f>
        <v>0</v>
      </c>
      <c r="P43" s="311">
        <f>'d3'!P43-'d3-чистий'!P43</f>
        <v>-30000</v>
      </c>
    </row>
    <row r="44" spans="1:16" ht="137.25" x14ac:dyDescent="0.2">
      <c r="A44" s="394" t="s">
        <v>319</v>
      </c>
      <c r="B44" s="394" t="s">
        <v>320</v>
      </c>
      <c r="C44" s="394" t="s">
        <v>321</v>
      </c>
      <c r="D44" s="394" t="s">
        <v>538</v>
      </c>
      <c r="E44" s="311">
        <f>'d3'!E44-'d3-чистий'!E44</f>
        <v>-900000</v>
      </c>
      <c r="F44" s="311">
        <f>'d3'!F44-'d3-чистий'!F44</f>
        <v>-900000</v>
      </c>
      <c r="G44" s="311">
        <f>'d3'!G44-'d3-чистий'!G44</f>
        <v>0</v>
      </c>
      <c r="H44" s="311">
        <f>'d3'!H44-'d3-чистий'!H44</f>
        <v>0</v>
      </c>
      <c r="I44" s="311">
        <f>'d3'!I44-'d3-чистий'!I44</f>
        <v>0</v>
      </c>
      <c r="J44" s="311">
        <f>'d3'!J44-'d3-чистий'!J44</f>
        <v>0</v>
      </c>
      <c r="K44" s="311">
        <f>'d3'!K44-'d3-чистий'!K44</f>
        <v>0</v>
      </c>
      <c r="L44" s="311">
        <f>'d3'!L44-'d3-чистий'!L44</f>
        <v>0</v>
      </c>
      <c r="M44" s="311">
        <f>'d3'!M44-'d3-чистий'!M44</f>
        <v>0</v>
      </c>
      <c r="N44" s="311">
        <f>'d3'!N44-'d3-чистий'!N44</f>
        <v>0</v>
      </c>
      <c r="O44" s="311">
        <f>'d3'!O44-'d3-чистий'!O44</f>
        <v>0</v>
      </c>
      <c r="P44" s="311">
        <f>'d3'!P44-'d3-чистий'!P44</f>
        <v>-900000</v>
      </c>
    </row>
    <row r="45" spans="1:16" ht="91.5" x14ac:dyDescent="0.2">
      <c r="A45" s="394" t="s">
        <v>322</v>
      </c>
      <c r="B45" s="394" t="s">
        <v>323</v>
      </c>
      <c r="C45" s="394" t="s">
        <v>324</v>
      </c>
      <c r="D45" s="394" t="s">
        <v>325</v>
      </c>
      <c r="E45" s="311">
        <f>'d3'!E45-'d3-чистий'!E45</f>
        <v>0</v>
      </c>
      <c r="F45" s="311">
        <f>'d3'!F45-'d3-чистий'!F45</f>
        <v>0</v>
      </c>
      <c r="G45" s="311">
        <f>'d3'!G45-'d3-чистий'!G45</f>
        <v>0</v>
      </c>
      <c r="H45" s="311">
        <f>'d3'!H45-'d3-чистий'!H45</f>
        <v>0</v>
      </c>
      <c r="I45" s="311">
        <f>'d3'!I45-'d3-чистий'!I45</f>
        <v>0</v>
      </c>
      <c r="J45" s="311">
        <f>'d3'!J45-'d3-чистий'!J45</f>
        <v>0</v>
      </c>
      <c r="K45" s="311">
        <f>'d3'!K45-'d3-чистий'!K45</f>
        <v>0</v>
      </c>
      <c r="L45" s="311">
        <f>'d3'!L45-'d3-чистий'!L45</f>
        <v>0</v>
      </c>
      <c r="M45" s="311">
        <f>'d3'!M45-'d3-чистий'!M45</f>
        <v>0</v>
      </c>
      <c r="N45" s="311">
        <f>'d3'!N45-'d3-чистий'!N45</f>
        <v>0</v>
      </c>
      <c r="O45" s="311">
        <f>'d3'!O45-'d3-чистий'!O45</f>
        <v>0</v>
      </c>
      <c r="P45" s="311">
        <f>'d3'!P45-'d3-чистий'!P45</f>
        <v>0</v>
      </c>
    </row>
    <row r="46" spans="1:16" ht="183" x14ac:dyDescent="0.2">
      <c r="A46" s="394" t="s">
        <v>326</v>
      </c>
      <c r="B46" s="389" t="s">
        <v>327</v>
      </c>
      <c r="C46" s="389" t="s">
        <v>539</v>
      </c>
      <c r="D46" s="394" t="s">
        <v>328</v>
      </c>
      <c r="E46" s="311">
        <f>'d3'!E46-'d3-чистий'!E46</f>
        <v>0</v>
      </c>
      <c r="F46" s="311">
        <f>'d3'!F46-'d3-чистий'!F46</f>
        <v>0</v>
      </c>
      <c r="G46" s="311">
        <f>'d3'!G46-'d3-чистий'!G46</f>
        <v>0</v>
      </c>
      <c r="H46" s="311">
        <f>'d3'!H46-'d3-чистий'!H46</f>
        <v>0</v>
      </c>
      <c r="I46" s="311">
        <f>'d3'!I46-'d3-чистий'!I46</f>
        <v>0</v>
      </c>
      <c r="J46" s="311">
        <f>'d3'!J46-'d3-чистий'!J46</f>
        <v>0</v>
      </c>
      <c r="K46" s="311">
        <f>'d3'!K46-'d3-чистий'!K46</f>
        <v>0</v>
      </c>
      <c r="L46" s="311">
        <f>'d3'!L46-'d3-чистий'!L46</f>
        <v>0</v>
      </c>
      <c r="M46" s="311">
        <f>'d3'!M46-'d3-чистий'!M46</f>
        <v>0</v>
      </c>
      <c r="N46" s="311">
        <f>'d3'!N46-'d3-чистий'!N46</f>
        <v>0</v>
      </c>
      <c r="O46" s="311">
        <f>'d3'!O46-'d3-чистий'!O46</f>
        <v>0</v>
      </c>
      <c r="P46" s="311">
        <f>'d3'!P46-'d3-чистий'!P46</f>
        <v>0</v>
      </c>
    </row>
    <row r="47" spans="1:16" ht="183" x14ac:dyDescent="0.2">
      <c r="A47" s="394" t="s">
        <v>577</v>
      </c>
      <c r="B47" s="394" t="s">
        <v>578</v>
      </c>
      <c r="C47" s="389" t="s">
        <v>329</v>
      </c>
      <c r="D47" s="269" t="s">
        <v>579</v>
      </c>
      <c r="E47" s="311">
        <f>'d3'!E47-'d3-чистий'!E47</f>
        <v>-156300</v>
      </c>
      <c r="F47" s="311">
        <f>'d3'!F47-'d3-чистий'!F47</f>
        <v>-156300</v>
      </c>
      <c r="G47" s="311">
        <f>'d3'!G47-'d3-чистий'!G47</f>
        <v>0</v>
      </c>
      <c r="H47" s="311">
        <f>'d3'!H47-'d3-чистий'!H47</f>
        <v>0</v>
      </c>
      <c r="I47" s="311">
        <f>'d3'!I47-'d3-чистий'!I47</f>
        <v>0</v>
      </c>
      <c r="J47" s="311">
        <f>'d3'!J47-'d3-чистий'!J47</f>
        <v>0</v>
      </c>
      <c r="K47" s="311">
        <f>'d3'!K47-'d3-чистий'!K47</f>
        <v>0</v>
      </c>
      <c r="L47" s="311">
        <f>'d3'!L47-'d3-чистий'!L47</f>
        <v>0</v>
      </c>
      <c r="M47" s="311">
        <f>'d3'!M47-'d3-чистий'!M47</f>
        <v>0</v>
      </c>
      <c r="N47" s="311">
        <f>'d3'!N47-'d3-чистий'!N47</f>
        <v>0</v>
      </c>
      <c r="O47" s="311">
        <f>'d3'!O47-'d3-чистий'!O47</f>
        <v>0</v>
      </c>
      <c r="P47" s="311">
        <f>'d3'!P47-'d3-чистий'!P47</f>
        <v>-156300</v>
      </c>
    </row>
    <row r="48" spans="1:16" ht="183" x14ac:dyDescent="0.2">
      <c r="A48" s="394" t="s">
        <v>582</v>
      </c>
      <c r="B48" s="394" t="s">
        <v>581</v>
      </c>
      <c r="C48" s="389" t="s">
        <v>329</v>
      </c>
      <c r="D48" s="269" t="s">
        <v>580</v>
      </c>
      <c r="E48" s="311">
        <f>'d3'!E48-'d3-чистий'!E48</f>
        <v>232000</v>
      </c>
      <c r="F48" s="311">
        <f>'d3'!F48-'d3-чистий'!F48</f>
        <v>232000</v>
      </c>
      <c r="G48" s="311">
        <f>'d3'!G48-'d3-чистий'!G48</f>
        <v>0</v>
      </c>
      <c r="H48" s="311">
        <f>'d3'!H48-'d3-чистий'!H48</f>
        <v>0</v>
      </c>
      <c r="I48" s="311">
        <f>'d3'!I48-'d3-чистий'!I48</f>
        <v>0</v>
      </c>
      <c r="J48" s="311">
        <f>'d3'!J48-'d3-чистий'!J48</f>
        <v>0</v>
      </c>
      <c r="K48" s="311">
        <f>'d3'!K48-'d3-чистий'!K48</f>
        <v>0</v>
      </c>
      <c r="L48" s="311">
        <f>'d3'!L48-'d3-чистий'!L48</f>
        <v>0</v>
      </c>
      <c r="M48" s="311">
        <f>'d3'!M48-'d3-чистий'!M48</f>
        <v>0</v>
      </c>
      <c r="N48" s="311">
        <f>'d3'!N48-'d3-чистий'!N48</f>
        <v>0</v>
      </c>
      <c r="O48" s="311">
        <f>'d3'!O48-'d3-чистий'!O48</f>
        <v>0</v>
      </c>
      <c r="P48" s="311">
        <f>'d3'!P48-'d3-чистий'!P48</f>
        <v>232000</v>
      </c>
    </row>
    <row r="49" spans="1:16" s="118" customFormat="1" ht="137.25" x14ac:dyDescent="0.2">
      <c r="A49" s="394" t="s">
        <v>495</v>
      </c>
      <c r="B49" s="394" t="s">
        <v>497</v>
      </c>
      <c r="C49" s="389" t="s">
        <v>329</v>
      </c>
      <c r="D49" s="269" t="s">
        <v>493</v>
      </c>
      <c r="E49" s="311">
        <f>'d3'!E49-'d3-чистий'!E49</f>
        <v>-102000</v>
      </c>
      <c r="F49" s="311">
        <f>'d3'!F49-'d3-чистий'!F49</f>
        <v>-102000</v>
      </c>
      <c r="G49" s="311">
        <f>'d3'!G49-'d3-чистий'!G49</f>
        <v>-60000</v>
      </c>
      <c r="H49" s="311">
        <f>'d3'!H49-'d3-чистий'!H49</f>
        <v>-29533</v>
      </c>
      <c r="I49" s="311">
        <f>'d3'!I49-'d3-чистий'!I49</f>
        <v>0</v>
      </c>
      <c r="J49" s="311">
        <f>'d3'!J49-'d3-чистий'!J49</f>
        <v>0</v>
      </c>
      <c r="K49" s="311">
        <f>'d3'!K49-'d3-чистий'!K49</f>
        <v>0</v>
      </c>
      <c r="L49" s="311">
        <f>'d3'!L49-'d3-чистий'!L49</f>
        <v>0</v>
      </c>
      <c r="M49" s="311">
        <f>'d3'!M49-'d3-чистий'!M49</f>
        <v>0</v>
      </c>
      <c r="N49" s="311">
        <f>'d3'!N49-'d3-чистий'!N49</f>
        <v>0</v>
      </c>
      <c r="O49" s="311">
        <f>'d3'!O49-'d3-чистий'!O49</f>
        <v>0</v>
      </c>
      <c r="P49" s="311">
        <f>'d3'!P49-'d3-чистий'!P49</f>
        <v>-102000</v>
      </c>
    </row>
    <row r="50" spans="1:16" s="118" customFormat="1" ht="91.5" x14ac:dyDescent="0.2">
      <c r="A50" s="394" t="s">
        <v>496</v>
      </c>
      <c r="B50" s="394" t="s">
        <v>498</v>
      </c>
      <c r="C50" s="389" t="s">
        <v>329</v>
      </c>
      <c r="D50" s="269" t="s">
        <v>494</v>
      </c>
      <c r="E50" s="311">
        <f>'d3'!E50-'d3-чистий'!E50</f>
        <v>-160000</v>
      </c>
      <c r="F50" s="311">
        <f>'d3'!F50-'d3-чистий'!F50</f>
        <v>-160000</v>
      </c>
      <c r="G50" s="311">
        <f>'d3'!G50-'d3-чистий'!G50</f>
        <v>0</v>
      </c>
      <c r="H50" s="311">
        <f>'d3'!H50-'d3-чистий'!H50</f>
        <v>0</v>
      </c>
      <c r="I50" s="311">
        <f>'d3'!I50-'d3-чистий'!I50</f>
        <v>0</v>
      </c>
      <c r="J50" s="311">
        <f>'d3'!J50-'d3-чистий'!J50</f>
        <v>0</v>
      </c>
      <c r="K50" s="311">
        <f>'d3'!K50-'d3-чистий'!K50</f>
        <v>0</v>
      </c>
      <c r="L50" s="311">
        <f>'d3'!L50-'d3-чистий'!L50</f>
        <v>0</v>
      </c>
      <c r="M50" s="311">
        <f>'d3'!M50-'d3-чистий'!M50</f>
        <v>0</v>
      </c>
      <c r="N50" s="311">
        <f>'d3'!N50-'d3-чистий'!N50</f>
        <v>0</v>
      </c>
      <c r="O50" s="311">
        <f>'d3'!O50-'d3-чистий'!O50</f>
        <v>0</v>
      </c>
      <c r="P50" s="311">
        <f>'d3'!P50-'d3-чистий'!P50</f>
        <v>-160000</v>
      </c>
    </row>
    <row r="51" spans="1:16" s="118" customFormat="1" ht="91.5" x14ac:dyDescent="0.2">
      <c r="A51" s="394" t="s">
        <v>863</v>
      </c>
      <c r="B51" s="394" t="s">
        <v>287</v>
      </c>
      <c r="C51" s="394" t="s">
        <v>250</v>
      </c>
      <c r="D51" s="394" t="s">
        <v>57</v>
      </c>
      <c r="E51" s="311">
        <f>'d3'!E51-'d3-чистий'!E51</f>
        <v>0</v>
      </c>
      <c r="F51" s="311">
        <f>'d3'!F51-'d3-чистий'!F51</f>
        <v>0</v>
      </c>
      <c r="G51" s="311">
        <f>'d3'!G51-'d3-чистий'!G51</f>
        <v>0</v>
      </c>
      <c r="H51" s="311">
        <f>'d3'!H51-'d3-чистий'!H51</f>
        <v>0</v>
      </c>
      <c r="I51" s="311">
        <f>'d3'!I51-'d3-чистий'!I51</f>
        <v>0</v>
      </c>
      <c r="J51" s="311">
        <f>'d3'!J51-'d3-чистий'!J51</f>
        <v>55300</v>
      </c>
      <c r="K51" s="311">
        <f>'d3'!K51-'d3-чистий'!K51</f>
        <v>55300</v>
      </c>
      <c r="L51" s="311">
        <f>'d3'!L51-'d3-чистий'!L51</f>
        <v>0</v>
      </c>
      <c r="M51" s="311">
        <f>'d3'!M51-'d3-чистий'!M51</f>
        <v>0</v>
      </c>
      <c r="N51" s="311">
        <f>'d3'!N51-'d3-чистий'!N51</f>
        <v>0</v>
      </c>
      <c r="O51" s="311">
        <f>'d3'!O51-'d3-чистий'!O51</f>
        <v>55300</v>
      </c>
      <c r="P51" s="311">
        <f>'d3'!P51-'d3-чистий'!P51</f>
        <v>55300</v>
      </c>
    </row>
    <row r="52" spans="1:16" s="118" customFormat="1" ht="91.5" x14ac:dyDescent="0.2">
      <c r="A52" s="394" t="s">
        <v>865</v>
      </c>
      <c r="B52" s="394" t="s">
        <v>587</v>
      </c>
      <c r="C52" s="394" t="s">
        <v>71</v>
      </c>
      <c r="D52" s="394" t="s">
        <v>588</v>
      </c>
      <c r="E52" s="311">
        <f>'d3'!E52-'d3-чистий'!E52</f>
        <v>0</v>
      </c>
      <c r="F52" s="311">
        <f>'d3'!F52-'d3-чистий'!F52</f>
        <v>0</v>
      </c>
      <c r="G52" s="311">
        <f>'d3'!G52-'d3-чистий'!G52</f>
        <v>0</v>
      </c>
      <c r="H52" s="311">
        <f>'d3'!H52-'d3-чистий'!H52</f>
        <v>0</v>
      </c>
      <c r="I52" s="311">
        <f>'d3'!I52-'d3-чистий'!I52</f>
        <v>0</v>
      </c>
      <c r="J52" s="311">
        <f>'d3'!J52-'d3-чистий'!J52</f>
        <v>0</v>
      </c>
      <c r="K52" s="311">
        <f>'d3'!K52-'d3-чистий'!K52</f>
        <v>0</v>
      </c>
      <c r="L52" s="311">
        <f>'d3'!L52-'d3-чистий'!L52</f>
        <v>0</v>
      </c>
      <c r="M52" s="311">
        <f>'d3'!M52-'d3-чистий'!M52</f>
        <v>0</v>
      </c>
      <c r="N52" s="311">
        <f>'d3'!N52-'d3-чистий'!N52</f>
        <v>0</v>
      </c>
      <c r="O52" s="311">
        <f>'d3'!O52-'d3-чистий'!O52</f>
        <v>0</v>
      </c>
      <c r="P52" s="311">
        <f>'d3'!P52-'d3-чистий'!P52</f>
        <v>0</v>
      </c>
    </row>
    <row r="53" spans="1:16" ht="225" x14ac:dyDescent="0.2">
      <c r="A53" s="327" t="s">
        <v>236</v>
      </c>
      <c r="B53" s="327"/>
      <c r="C53" s="327"/>
      <c r="D53" s="328" t="s">
        <v>60</v>
      </c>
      <c r="E53" s="329">
        <f>E54</f>
        <v>3899238</v>
      </c>
      <c r="F53" s="329">
        <f t="shared" ref="F53:G53" si="16">F54</f>
        <v>3899238</v>
      </c>
      <c r="G53" s="329">
        <f t="shared" si="16"/>
        <v>1038000</v>
      </c>
      <c r="H53" s="329">
        <f>H54</f>
        <v>-79559</v>
      </c>
      <c r="I53" s="329">
        <f t="shared" ref="I53" si="17">I54</f>
        <v>0</v>
      </c>
      <c r="J53" s="329">
        <f>J54</f>
        <v>559043</v>
      </c>
      <c r="K53" s="329">
        <f>K54</f>
        <v>559043</v>
      </c>
      <c r="L53" s="329">
        <f>L54</f>
        <v>0</v>
      </c>
      <c r="M53" s="329">
        <f t="shared" ref="M53" si="18">M54</f>
        <v>0</v>
      </c>
      <c r="N53" s="329">
        <f>N54</f>
        <v>0</v>
      </c>
      <c r="O53" s="329">
        <f>O54</f>
        <v>559043</v>
      </c>
      <c r="P53" s="329">
        <f>P54</f>
        <v>4458281</v>
      </c>
    </row>
    <row r="54" spans="1:16" ht="225" x14ac:dyDescent="0.2">
      <c r="A54" s="324" t="s">
        <v>237</v>
      </c>
      <c r="B54" s="324"/>
      <c r="C54" s="324"/>
      <c r="D54" s="325" t="s">
        <v>61</v>
      </c>
      <c r="E54" s="326">
        <f>SUM(E55:E110)</f>
        <v>3899238</v>
      </c>
      <c r="F54" s="326">
        <f>SUM(F55:F110)</f>
        <v>3899238</v>
      </c>
      <c r="G54" s="326">
        <f>SUM(G55:G110)</f>
        <v>1038000</v>
      </c>
      <c r="H54" s="326">
        <f>SUM(H55:H110)</f>
        <v>-79559</v>
      </c>
      <c r="I54" s="326">
        <f>SUM(I55:I110)</f>
        <v>0</v>
      </c>
      <c r="J54" s="326">
        <f t="shared" ref="J54" si="19">L54+O54</f>
        <v>559043</v>
      </c>
      <c r="K54" s="326">
        <f>SUM(K55:K110)</f>
        <v>559043</v>
      </c>
      <c r="L54" s="326">
        <f>SUM(L55:L110)</f>
        <v>0</v>
      </c>
      <c r="M54" s="326">
        <f>SUM(M55:M110)</f>
        <v>0</v>
      </c>
      <c r="N54" s="326">
        <f>SUM(N55:N110)</f>
        <v>0</v>
      </c>
      <c r="O54" s="326">
        <f>SUM(O55:O110)</f>
        <v>559043</v>
      </c>
      <c r="P54" s="326">
        <f t="shared" ref="P54" si="20">E54+J54</f>
        <v>4458281</v>
      </c>
    </row>
    <row r="55" spans="1:16" ht="228.75" x14ac:dyDescent="0.2">
      <c r="A55" s="394" t="s">
        <v>704</v>
      </c>
      <c r="B55" s="394" t="s">
        <v>335</v>
      </c>
      <c r="C55" s="394" t="s">
        <v>333</v>
      </c>
      <c r="D55" s="394" t="s">
        <v>334</v>
      </c>
      <c r="E55" s="311">
        <f>'d3'!E55-'d3-чистий'!E55</f>
        <v>1035900</v>
      </c>
      <c r="F55" s="311">
        <f>'d3'!F55-'d3-чистий'!F55</f>
        <v>1035900</v>
      </c>
      <c r="G55" s="311">
        <f>'d3'!G55-'d3-чистий'!G55</f>
        <v>1052600</v>
      </c>
      <c r="H55" s="311">
        <f>'d3'!H55-'d3-чистий'!H55</f>
        <v>-80000</v>
      </c>
      <c r="I55" s="311">
        <f>'d3'!I55-'d3-чистий'!I55</f>
        <v>0</v>
      </c>
      <c r="J55" s="311">
        <f>'d3'!J55-'d3-чистий'!J55</f>
        <v>0</v>
      </c>
      <c r="K55" s="311">
        <f>'d3'!K55-'d3-чистий'!K55</f>
        <v>0</v>
      </c>
      <c r="L55" s="311">
        <f>'d3'!L55-'d3-чистий'!L55</f>
        <v>0</v>
      </c>
      <c r="M55" s="311">
        <f>'d3'!M55-'d3-чистий'!M55</f>
        <v>0</v>
      </c>
      <c r="N55" s="311">
        <f>'d3'!N55-'d3-чистий'!N55</f>
        <v>0</v>
      </c>
      <c r="O55" s="311">
        <f>'d3'!O55-'d3-чистий'!O55</f>
        <v>0</v>
      </c>
      <c r="P55" s="311">
        <f>'d3'!P55-'d3-чистий'!P55</f>
        <v>1035900</v>
      </c>
    </row>
    <row r="56" spans="1:16" ht="183" x14ac:dyDescent="0.2">
      <c r="A56" s="389" t="s">
        <v>350</v>
      </c>
      <c r="B56" s="389" t="s">
        <v>351</v>
      </c>
      <c r="C56" s="389" t="s">
        <v>296</v>
      </c>
      <c r="D56" s="395" t="s">
        <v>349</v>
      </c>
      <c r="E56" s="311">
        <f>'d3'!E56-'d3-чистий'!E56</f>
        <v>0</v>
      </c>
      <c r="F56" s="311">
        <f>'d3'!F56-'d3-чистий'!F56</f>
        <v>0</v>
      </c>
      <c r="G56" s="311">
        <f>'d3'!G56-'d3-чистий'!G56</f>
        <v>0</v>
      </c>
      <c r="H56" s="311">
        <f>'d3'!H56-'d3-чистий'!H56</f>
        <v>0</v>
      </c>
      <c r="I56" s="311">
        <f>'d3'!I56-'d3-чистий'!I56</f>
        <v>0</v>
      </c>
      <c r="J56" s="311">
        <f>'d3'!J56-'d3-чистий'!J56</f>
        <v>0</v>
      </c>
      <c r="K56" s="311">
        <f>'d3'!K56-'d3-чистий'!K56</f>
        <v>0</v>
      </c>
      <c r="L56" s="311">
        <f>'d3'!L56-'d3-чистий'!L56</f>
        <v>0</v>
      </c>
      <c r="M56" s="311">
        <f>'d3'!M56-'d3-чистий'!M56</f>
        <v>0</v>
      </c>
      <c r="N56" s="311">
        <f>'d3'!N56-'d3-чистий'!N56</f>
        <v>0</v>
      </c>
      <c r="O56" s="311">
        <f>'d3'!O56-'d3-чистий'!O56</f>
        <v>0</v>
      </c>
      <c r="P56" s="311">
        <f>'d3'!P56-'d3-чистий'!P56</f>
        <v>0</v>
      </c>
    </row>
    <row r="57" spans="1:16" ht="183" x14ac:dyDescent="0.2">
      <c r="A57" s="271" t="s">
        <v>369</v>
      </c>
      <c r="B57" s="389" t="s">
        <v>370</v>
      </c>
      <c r="C57" s="389" t="s">
        <v>79</v>
      </c>
      <c r="D57" s="394" t="s">
        <v>8</v>
      </c>
      <c r="E57" s="311">
        <f>'d3'!E57-'d3-чистий'!E57</f>
        <v>0</v>
      </c>
      <c r="F57" s="311">
        <f>'d3'!F57-'d3-чистий'!F57</f>
        <v>0</v>
      </c>
      <c r="G57" s="311">
        <f>'d3'!G57-'d3-чистий'!G57</f>
        <v>0</v>
      </c>
      <c r="H57" s="311">
        <f>'d3'!H57-'d3-чистий'!H57</f>
        <v>0</v>
      </c>
      <c r="I57" s="311">
        <f>'d3'!I57-'d3-чистий'!I57</f>
        <v>0</v>
      </c>
      <c r="J57" s="311">
        <f>'d3'!J57-'d3-чистий'!J57</f>
        <v>0</v>
      </c>
      <c r="K57" s="311">
        <f>'d3'!K57-'d3-чистий'!K57</f>
        <v>0</v>
      </c>
      <c r="L57" s="311">
        <f>'d3'!L57-'d3-чистий'!L57</f>
        <v>0</v>
      </c>
      <c r="M57" s="311">
        <f>'d3'!M57-'d3-чистий'!M57</f>
        <v>0</v>
      </c>
      <c r="N57" s="311">
        <f>'d3'!N57-'d3-чистий'!N57</f>
        <v>0</v>
      </c>
      <c r="O57" s="311">
        <f>'d3'!O57-'d3-чистий'!O57</f>
        <v>0</v>
      </c>
      <c r="P57" s="311">
        <f>'d3'!P57-'d3-чистий'!P57</f>
        <v>0</v>
      </c>
    </row>
    <row r="58" spans="1:16" ht="274.5" x14ac:dyDescent="0.2">
      <c r="A58" s="394" t="s">
        <v>372</v>
      </c>
      <c r="B58" s="394" t="s">
        <v>373</v>
      </c>
      <c r="C58" s="394" t="s">
        <v>296</v>
      </c>
      <c r="D58" s="250" t="s">
        <v>371</v>
      </c>
      <c r="E58" s="311">
        <f>'d3'!E58-'d3-чистий'!E58</f>
        <v>0</v>
      </c>
      <c r="F58" s="311">
        <f>'d3'!F58-'d3-чистий'!F58</f>
        <v>0</v>
      </c>
      <c r="G58" s="311">
        <f>'d3'!G58-'d3-чистий'!G58</f>
        <v>0</v>
      </c>
      <c r="H58" s="311">
        <f>'d3'!H58-'d3-чистий'!H58</f>
        <v>0</v>
      </c>
      <c r="I58" s="311">
        <f>'d3'!I58-'d3-чистий'!I58</f>
        <v>0</v>
      </c>
      <c r="J58" s="311">
        <f>'d3'!J58-'d3-чистий'!J58</f>
        <v>0</v>
      </c>
      <c r="K58" s="311">
        <f>'d3'!K58-'d3-чистий'!K58</f>
        <v>0</v>
      </c>
      <c r="L58" s="311">
        <f>'d3'!L58-'d3-чистий'!L58</f>
        <v>0</v>
      </c>
      <c r="M58" s="311">
        <f>'d3'!M58-'d3-чистий'!M58</f>
        <v>0</v>
      </c>
      <c r="N58" s="311">
        <f>'d3'!N58-'d3-чистий'!N58</f>
        <v>0</v>
      </c>
      <c r="O58" s="311">
        <f>'d3'!O58-'d3-чистий'!O58</f>
        <v>0</v>
      </c>
      <c r="P58" s="311">
        <f>'d3'!P58-'d3-чистий'!P58</f>
        <v>0</v>
      </c>
    </row>
    <row r="59" spans="1:16" ht="228.75" x14ac:dyDescent="0.2">
      <c r="A59" s="394" t="s">
        <v>374</v>
      </c>
      <c r="B59" s="394" t="s">
        <v>375</v>
      </c>
      <c r="C59" s="250">
        <v>1060</v>
      </c>
      <c r="D59" s="272" t="s">
        <v>19</v>
      </c>
      <c r="E59" s="311">
        <f>'d3'!E59-'d3-чистий'!E59</f>
        <v>0</v>
      </c>
      <c r="F59" s="311">
        <f>'d3'!F59-'d3-чистий'!F59</f>
        <v>0</v>
      </c>
      <c r="G59" s="311">
        <f>'d3'!G59-'d3-чистий'!G59</f>
        <v>0</v>
      </c>
      <c r="H59" s="311">
        <f>'d3'!H59-'d3-чистий'!H59</f>
        <v>0</v>
      </c>
      <c r="I59" s="311">
        <f>'d3'!I59-'d3-чистий'!I59</f>
        <v>0</v>
      </c>
      <c r="J59" s="311">
        <f>'d3'!J59-'d3-чистий'!J59</f>
        <v>0</v>
      </c>
      <c r="K59" s="311">
        <f>'d3'!K59-'d3-чистий'!K59</f>
        <v>0</v>
      </c>
      <c r="L59" s="311">
        <f>'d3'!L59-'d3-чистий'!L59</f>
        <v>0</v>
      </c>
      <c r="M59" s="311">
        <f>'d3'!M59-'d3-чистий'!M59</f>
        <v>0</v>
      </c>
      <c r="N59" s="311">
        <f>'d3'!N59-'d3-чистий'!N59</f>
        <v>0</v>
      </c>
      <c r="O59" s="311">
        <f>'d3'!O59-'d3-чистий'!O59</f>
        <v>0</v>
      </c>
      <c r="P59" s="311">
        <f>'d3'!P59-'d3-чистий'!P59</f>
        <v>0</v>
      </c>
    </row>
    <row r="60" spans="1:16" s="118" customFormat="1" ht="137.25" x14ac:dyDescent="0.2">
      <c r="A60" s="389" t="s">
        <v>400</v>
      </c>
      <c r="B60" s="389" t="s">
        <v>401</v>
      </c>
      <c r="C60" s="389" t="s">
        <v>296</v>
      </c>
      <c r="D60" s="395" t="s">
        <v>402</v>
      </c>
      <c r="E60" s="311">
        <f>'d3'!E60-'d3-чистий'!E60</f>
        <v>-86000</v>
      </c>
      <c r="F60" s="311">
        <f>'d3'!F60-'d3-чистий'!F60</f>
        <v>-86000</v>
      </c>
      <c r="G60" s="311">
        <f>'d3'!G60-'d3-чистий'!G60</f>
        <v>0</v>
      </c>
      <c r="H60" s="311">
        <f>'d3'!H60-'d3-чистий'!H60</f>
        <v>0</v>
      </c>
      <c r="I60" s="311">
        <f>'d3'!I60-'d3-чистий'!I60</f>
        <v>0</v>
      </c>
      <c r="J60" s="311">
        <f>'d3'!J60-'d3-чистий'!J60</f>
        <v>0</v>
      </c>
      <c r="K60" s="311">
        <f>'d3'!K60-'d3-чистий'!K60</f>
        <v>0</v>
      </c>
      <c r="L60" s="311">
        <f>'d3'!L60-'d3-чистий'!L60</f>
        <v>0</v>
      </c>
      <c r="M60" s="311">
        <f>'d3'!M60-'d3-чистий'!M60</f>
        <v>0</v>
      </c>
      <c r="N60" s="311">
        <f>'d3'!N60-'d3-чистий'!N60</f>
        <v>0</v>
      </c>
      <c r="O60" s="311">
        <f>'d3'!O60-'d3-чистий'!O60</f>
        <v>0</v>
      </c>
      <c r="P60" s="311">
        <f>'d3'!P60-'d3-чистий'!P60</f>
        <v>-86000</v>
      </c>
    </row>
    <row r="61" spans="1:16" s="118" customFormat="1" ht="137.25" x14ac:dyDescent="0.2">
      <c r="A61" s="394" t="s">
        <v>403</v>
      </c>
      <c r="B61" s="394" t="s">
        <v>404</v>
      </c>
      <c r="C61" s="394" t="s">
        <v>297</v>
      </c>
      <c r="D61" s="394" t="s">
        <v>16</v>
      </c>
      <c r="E61" s="311">
        <f>'d3'!E61-'d3-чистий'!E61</f>
        <v>-45000</v>
      </c>
      <c r="F61" s="311">
        <f>'d3'!F61-'d3-чистий'!F61</f>
        <v>-45000</v>
      </c>
      <c r="G61" s="311">
        <f>'d3'!G61-'d3-чистий'!G61</f>
        <v>0</v>
      </c>
      <c r="H61" s="311">
        <f>'d3'!H61-'d3-чистий'!H61</f>
        <v>0</v>
      </c>
      <c r="I61" s="311">
        <f>'d3'!I61-'d3-чистий'!I61</f>
        <v>0</v>
      </c>
      <c r="J61" s="311">
        <f>'d3'!J61-'d3-чистий'!J61</f>
        <v>0</v>
      </c>
      <c r="K61" s="311">
        <f>'d3'!K61-'d3-чистий'!K61</f>
        <v>0</v>
      </c>
      <c r="L61" s="311">
        <f>'d3'!L61-'d3-чистий'!L61</f>
        <v>0</v>
      </c>
      <c r="M61" s="311">
        <f>'d3'!M61-'d3-чистий'!M61</f>
        <v>0</v>
      </c>
      <c r="N61" s="311">
        <f>'d3'!N61-'d3-чистий'!N61</f>
        <v>0</v>
      </c>
      <c r="O61" s="311">
        <f>'d3'!O61-'d3-чистий'!O61</f>
        <v>0</v>
      </c>
      <c r="P61" s="311">
        <f>'d3'!P61-'d3-чистий'!P61</f>
        <v>-45000</v>
      </c>
    </row>
    <row r="62" spans="1:16" s="118" customFormat="1" ht="183" x14ac:dyDescent="0.2">
      <c r="A62" s="394" t="s">
        <v>406</v>
      </c>
      <c r="B62" s="394" t="s">
        <v>407</v>
      </c>
      <c r="C62" s="394" t="s">
        <v>297</v>
      </c>
      <c r="D62" s="389" t="s">
        <v>17</v>
      </c>
      <c r="E62" s="311">
        <f>'d3'!E62-'d3-чистий'!E62</f>
        <v>0</v>
      </c>
      <c r="F62" s="311">
        <f>'d3'!F62-'d3-чистий'!F62</f>
        <v>0</v>
      </c>
      <c r="G62" s="311">
        <f>'d3'!G62-'d3-чистий'!G62</f>
        <v>0</v>
      </c>
      <c r="H62" s="311">
        <f>'d3'!H62-'d3-чистий'!H62</f>
        <v>0</v>
      </c>
      <c r="I62" s="311">
        <f>'d3'!I62-'d3-чистий'!I62</f>
        <v>0</v>
      </c>
      <c r="J62" s="311">
        <f>'d3'!J62-'d3-чистий'!J62</f>
        <v>0</v>
      </c>
      <c r="K62" s="311">
        <f>'d3'!K62-'d3-чистий'!K62</f>
        <v>0</v>
      </c>
      <c r="L62" s="311">
        <f>'d3'!L62-'d3-чистий'!L62</f>
        <v>0</v>
      </c>
      <c r="M62" s="311">
        <f>'d3'!M62-'d3-чистий'!M62</f>
        <v>0</v>
      </c>
      <c r="N62" s="311">
        <f>'d3'!N62-'d3-чистий'!N62</f>
        <v>0</v>
      </c>
      <c r="O62" s="311">
        <f>'d3'!O62-'d3-чистий'!O62</f>
        <v>0</v>
      </c>
      <c r="P62" s="311">
        <f>'d3'!P62-'d3-чистий'!P62</f>
        <v>0</v>
      </c>
    </row>
    <row r="63" spans="1:16" s="118" customFormat="1" ht="183" x14ac:dyDescent="0.2">
      <c r="A63" s="389" t="s">
        <v>408</v>
      </c>
      <c r="B63" s="389" t="s">
        <v>405</v>
      </c>
      <c r="C63" s="389" t="s">
        <v>297</v>
      </c>
      <c r="D63" s="389" t="s">
        <v>18</v>
      </c>
      <c r="E63" s="311">
        <f>'d3'!E63-'d3-чистий'!E63</f>
        <v>0</v>
      </c>
      <c r="F63" s="311">
        <f>'d3'!F63-'d3-чистий'!F63</f>
        <v>0</v>
      </c>
      <c r="G63" s="311">
        <f>'d3'!G63-'d3-чистий'!G63</f>
        <v>0</v>
      </c>
      <c r="H63" s="311">
        <f>'d3'!H63-'d3-чистий'!H63</f>
        <v>0</v>
      </c>
      <c r="I63" s="311">
        <f>'d3'!I63-'d3-чистий'!I63</f>
        <v>0</v>
      </c>
      <c r="J63" s="311">
        <f>'d3'!J63-'d3-чистий'!J63</f>
        <v>0</v>
      </c>
      <c r="K63" s="311">
        <f>'d3'!K63-'d3-чистий'!K63</f>
        <v>0</v>
      </c>
      <c r="L63" s="311">
        <f>'d3'!L63-'d3-чистий'!L63</f>
        <v>0</v>
      </c>
      <c r="M63" s="311">
        <f>'d3'!M63-'d3-чистий'!M63</f>
        <v>0</v>
      </c>
      <c r="N63" s="311">
        <f>'d3'!N63-'d3-чистий'!N63</f>
        <v>0</v>
      </c>
      <c r="O63" s="311">
        <f>'d3'!O63-'d3-чистий'!O63</f>
        <v>0</v>
      </c>
      <c r="P63" s="311">
        <f>'d3'!P63-'d3-чистий'!P63</f>
        <v>0</v>
      </c>
    </row>
    <row r="64" spans="1:16" s="118" customFormat="1" ht="183" x14ac:dyDescent="0.2">
      <c r="A64" s="389" t="s">
        <v>409</v>
      </c>
      <c r="B64" s="389" t="s">
        <v>410</v>
      </c>
      <c r="C64" s="389" t="s">
        <v>297</v>
      </c>
      <c r="D64" s="389" t="s">
        <v>21</v>
      </c>
      <c r="E64" s="311">
        <f>'d3'!E64-'d3-чистий'!E64</f>
        <v>2460181</v>
      </c>
      <c r="F64" s="311">
        <f>'d3'!F64-'d3-чистий'!F64</f>
        <v>2460181</v>
      </c>
      <c r="G64" s="311">
        <f>'d3'!G64-'d3-чистий'!G64</f>
        <v>0</v>
      </c>
      <c r="H64" s="311">
        <f>'d3'!H64-'d3-чистий'!H64</f>
        <v>0</v>
      </c>
      <c r="I64" s="311">
        <f>'d3'!I64-'d3-чистий'!I64</f>
        <v>0</v>
      </c>
      <c r="J64" s="311">
        <f>'d3'!J64-'d3-чистий'!J64</f>
        <v>0</v>
      </c>
      <c r="K64" s="311">
        <f>'d3'!K64-'d3-чистий'!K64</f>
        <v>0</v>
      </c>
      <c r="L64" s="311">
        <f>'d3'!L64-'d3-чистий'!L64</f>
        <v>0</v>
      </c>
      <c r="M64" s="311">
        <f>'d3'!M64-'d3-чистий'!M64</f>
        <v>0</v>
      </c>
      <c r="N64" s="311">
        <f>'d3'!N64-'d3-чистий'!N64</f>
        <v>0</v>
      </c>
      <c r="O64" s="311">
        <f>'d3'!O64-'d3-чистий'!O64</f>
        <v>0</v>
      </c>
      <c r="P64" s="311">
        <f>'d3'!P64-'d3-чистий'!P64</f>
        <v>2460181</v>
      </c>
    </row>
    <row r="65" spans="1:16" s="118" customFormat="1" ht="91.5" x14ac:dyDescent="0.2">
      <c r="A65" s="394" t="s">
        <v>360</v>
      </c>
      <c r="B65" s="394" t="s">
        <v>352</v>
      </c>
      <c r="C65" s="394" t="s">
        <v>273</v>
      </c>
      <c r="D65" s="394" t="s">
        <v>10</v>
      </c>
      <c r="E65" s="311">
        <f>'d3'!E65-'d3-чистий'!E65</f>
        <v>0</v>
      </c>
      <c r="F65" s="311">
        <f>'d3'!F65-'d3-чистий'!F65</f>
        <v>0</v>
      </c>
      <c r="G65" s="311">
        <f>'d3'!G65-'d3-чистий'!G65</f>
        <v>0</v>
      </c>
      <c r="H65" s="311">
        <f>'d3'!H65-'d3-чистий'!H65</f>
        <v>0</v>
      </c>
      <c r="I65" s="311">
        <f>'d3'!I65-'d3-чистий'!I65</f>
        <v>0</v>
      </c>
      <c r="J65" s="311">
        <f>'d3'!J65-'d3-чистий'!J65</f>
        <v>0</v>
      </c>
      <c r="K65" s="311">
        <f>'d3'!K65-'d3-чистий'!K65</f>
        <v>0</v>
      </c>
      <c r="L65" s="311">
        <f>'d3'!L65-'d3-чистий'!L65</f>
        <v>0</v>
      </c>
      <c r="M65" s="311">
        <f>'d3'!M65-'d3-чистий'!M65</f>
        <v>0</v>
      </c>
      <c r="N65" s="311">
        <f>'d3'!N65-'d3-чистий'!N65</f>
        <v>0</v>
      </c>
      <c r="O65" s="311">
        <f>'d3'!O65-'d3-чистий'!O65</f>
        <v>0</v>
      </c>
      <c r="P65" s="311">
        <f>'d3'!P65-'d3-чистий'!P65</f>
        <v>0</v>
      </c>
    </row>
    <row r="66" spans="1:16" s="118" customFormat="1" ht="91.5" x14ac:dyDescent="0.2">
      <c r="A66" s="394" t="s">
        <v>361</v>
      </c>
      <c r="B66" s="394" t="s">
        <v>353</v>
      </c>
      <c r="C66" s="394" t="s">
        <v>273</v>
      </c>
      <c r="D66" s="394" t="s">
        <v>359</v>
      </c>
      <c r="E66" s="311">
        <f>'d3'!E66-'d3-чистий'!E66</f>
        <v>0</v>
      </c>
      <c r="F66" s="311">
        <f>'d3'!F66-'d3-чистий'!F66</f>
        <v>0</v>
      </c>
      <c r="G66" s="311">
        <f>'d3'!G66-'d3-чистий'!G66</f>
        <v>0</v>
      </c>
      <c r="H66" s="311">
        <f>'d3'!H66-'d3-чистий'!H66</f>
        <v>0</v>
      </c>
      <c r="I66" s="311">
        <f>'d3'!I66-'d3-чистий'!I66</f>
        <v>0</v>
      </c>
      <c r="J66" s="311">
        <f>'d3'!J66-'d3-чистий'!J66</f>
        <v>0</v>
      </c>
      <c r="K66" s="311">
        <f>'d3'!K66-'d3-чистий'!K66</f>
        <v>0</v>
      </c>
      <c r="L66" s="311">
        <f>'d3'!L66-'d3-чистий'!L66</f>
        <v>0</v>
      </c>
      <c r="M66" s="311">
        <f>'d3'!M66-'d3-чистий'!M66</f>
        <v>0</v>
      </c>
      <c r="N66" s="311">
        <f>'d3'!N66-'d3-чистий'!N66</f>
        <v>0</v>
      </c>
      <c r="O66" s="311">
        <f>'d3'!O66-'d3-чистий'!O66</f>
        <v>0</v>
      </c>
      <c r="P66" s="311">
        <f>'d3'!P66-'d3-чистий'!P66</f>
        <v>0</v>
      </c>
    </row>
    <row r="67" spans="1:16" s="118" customFormat="1" ht="91.5" x14ac:dyDescent="0.2">
      <c r="A67" s="394" t="s">
        <v>362</v>
      </c>
      <c r="B67" s="394" t="s">
        <v>354</v>
      </c>
      <c r="C67" s="394" t="s">
        <v>273</v>
      </c>
      <c r="D67" s="394" t="s">
        <v>11</v>
      </c>
      <c r="E67" s="311">
        <f>'d3'!E67-'d3-чистий'!E67</f>
        <v>0</v>
      </c>
      <c r="F67" s="311">
        <f>'d3'!F67-'d3-чистий'!F67</f>
        <v>0</v>
      </c>
      <c r="G67" s="311">
        <f>'d3'!G67-'d3-чистий'!G67</f>
        <v>0</v>
      </c>
      <c r="H67" s="311">
        <f>'d3'!H67-'d3-чистий'!H67</f>
        <v>0</v>
      </c>
      <c r="I67" s="311">
        <f>'d3'!I67-'d3-чистий'!I67</f>
        <v>0</v>
      </c>
      <c r="J67" s="311">
        <f>'d3'!J67-'d3-чистий'!J67</f>
        <v>0</v>
      </c>
      <c r="K67" s="311">
        <f>'d3'!K67-'d3-чистий'!K67</f>
        <v>0</v>
      </c>
      <c r="L67" s="311">
        <f>'d3'!L67-'d3-чистий'!L67</f>
        <v>0</v>
      </c>
      <c r="M67" s="311">
        <f>'d3'!M67-'d3-чистий'!M67</f>
        <v>0</v>
      </c>
      <c r="N67" s="311">
        <f>'d3'!N67-'d3-чистий'!N67</f>
        <v>0</v>
      </c>
      <c r="O67" s="311">
        <f>'d3'!O67-'d3-чистий'!O67</f>
        <v>0</v>
      </c>
      <c r="P67" s="311">
        <f>'d3'!P67-'d3-чистий'!P67</f>
        <v>0</v>
      </c>
    </row>
    <row r="68" spans="1:16" s="118" customFormat="1" ht="137.25" x14ac:dyDescent="0.2">
      <c r="A68" s="394" t="s">
        <v>363</v>
      </c>
      <c r="B68" s="394" t="s">
        <v>355</v>
      </c>
      <c r="C68" s="394" t="s">
        <v>273</v>
      </c>
      <c r="D68" s="394" t="s">
        <v>12</v>
      </c>
      <c r="E68" s="311">
        <f>'d3'!E68-'d3-чистий'!E68</f>
        <v>0</v>
      </c>
      <c r="F68" s="311">
        <f>'d3'!F68-'d3-чистий'!F68</f>
        <v>0</v>
      </c>
      <c r="G68" s="311">
        <f>'d3'!G68-'d3-чистий'!G68</f>
        <v>0</v>
      </c>
      <c r="H68" s="311">
        <f>'d3'!H68-'d3-чистий'!H68</f>
        <v>0</v>
      </c>
      <c r="I68" s="311">
        <f>'d3'!I68-'d3-чистий'!I68</f>
        <v>0</v>
      </c>
      <c r="J68" s="311">
        <f>'d3'!J68-'d3-чистий'!J68</f>
        <v>0</v>
      </c>
      <c r="K68" s="311">
        <f>'d3'!K68-'d3-чистий'!K68</f>
        <v>0</v>
      </c>
      <c r="L68" s="311">
        <f>'d3'!L68-'d3-чистий'!L68</f>
        <v>0</v>
      </c>
      <c r="M68" s="311">
        <f>'d3'!M68-'d3-чистий'!M68</f>
        <v>0</v>
      </c>
      <c r="N68" s="311">
        <f>'d3'!N68-'d3-чистий'!N68</f>
        <v>0</v>
      </c>
      <c r="O68" s="311">
        <f>'d3'!O68-'d3-чистий'!O68</f>
        <v>0</v>
      </c>
      <c r="P68" s="311">
        <f>'d3'!P68-'d3-чистий'!P68</f>
        <v>0</v>
      </c>
    </row>
    <row r="69" spans="1:16" s="118" customFormat="1" ht="91.5" x14ac:dyDescent="0.2">
      <c r="A69" s="394" t="s">
        <v>364</v>
      </c>
      <c r="B69" s="394" t="s">
        <v>356</v>
      </c>
      <c r="C69" s="394" t="s">
        <v>273</v>
      </c>
      <c r="D69" s="394" t="s">
        <v>13</v>
      </c>
      <c r="E69" s="311">
        <f>'d3'!E69-'d3-чистий'!E69</f>
        <v>0</v>
      </c>
      <c r="F69" s="311">
        <f>'d3'!F69-'d3-чистий'!F69</f>
        <v>0</v>
      </c>
      <c r="G69" s="311">
        <f>'d3'!G69-'d3-чистий'!G69</f>
        <v>0</v>
      </c>
      <c r="H69" s="311">
        <f>'d3'!H69-'d3-чистий'!H69</f>
        <v>0</v>
      </c>
      <c r="I69" s="311">
        <f>'d3'!I69-'d3-чистий'!I69</f>
        <v>0</v>
      </c>
      <c r="J69" s="311">
        <f>'d3'!J69-'d3-чистий'!J69</f>
        <v>0</v>
      </c>
      <c r="K69" s="311">
        <f>'d3'!K69-'d3-чистий'!K69</f>
        <v>0</v>
      </c>
      <c r="L69" s="311">
        <f>'d3'!L69-'d3-чистий'!L69</f>
        <v>0</v>
      </c>
      <c r="M69" s="311">
        <f>'d3'!M69-'d3-чистий'!M69</f>
        <v>0</v>
      </c>
      <c r="N69" s="311">
        <f>'d3'!N69-'d3-чистий'!N69</f>
        <v>0</v>
      </c>
      <c r="O69" s="311">
        <f>'d3'!O69-'d3-чистий'!O69</f>
        <v>0</v>
      </c>
      <c r="P69" s="311">
        <f>'d3'!P69-'d3-чистий'!P69</f>
        <v>0</v>
      </c>
    </row>
    <row r="70" spans="1:16" s="118" customFormat="1" ht="91.5" x14ac:dyDescent="0.2">
      <c r="A70" s="394" t="s">
        <v>365</v>
      </c>
      <c r="B70" s="394" t="s">
        <v>357</v>
      </c>
      <c r="C70" s="394" t="s">
        <v>273</v>
      </c>
      <c r="D70" s="394" t="s">
        <v>14</v>
      </c>
      <c r="E70" s="311">
        <f>'d3'!E70-'d3-чистий'!E70</f>
        <v>0</v>
      </c>
      <c r="F70" s="311">
        <f>'d3'!F70-'d3-чистий'!F70</f>
        <v>0</v>
      </c>
      <c r="G70" s="311">
        <f>'d3'!G70-'d3-чистий'!G70</f>
        <v>0</v>
      </c>
      <c r="H70" s="311">
        <f>'d3'!H70-'d3-чистий'!H70</f>
        <v>0</v>
      </c>
      <c r="I70" s="311">
        <f>'d3'!I70-'d3-чистий'!I70</f>
        <v>0</v>
      </c>
      <c r="J70" s="311">
        <f>'d3'!J70-'d3-чистий'!J70</f>
        <v>0</v>
      </c>
      <c r="K70" s="311">
        <f>'d3'!K70-'d3-чистий'!K70</f>
        <v>0</v>
      </c>
      <c r="L70" s="311">
        <f>'d3'!L70-'d3-чистий'!L70</f>
        <v>0</v>
      </c>
      <c r="M70" s="311">
        <f>'d3'!M70-'d3-чистий'!M70</f>
        <v>0</v>
      </c>
      <c r="N70" s="311">
        <f>'d3'!N70-'d3-чистий'!N70</f>
        <v>0</v>
      </c>
      <c r="O70" s="311">
        <f>'d3'!O70-'d3-чистий'!O70</f>
        <v>0</v>
      </c>
      <c r="P70" s="311">
        <f>'d3'!P70-'d3-чистий'!P70</f>
        <v>0</v>
      </c>
    </row>
    <row r="71" spans="1:16" s="118" customFormat="1" ht="137.25" x14ac:dyDescent="0.2">
      <c r="A71" s="394" t="s">
        <v>366</v>
      </c>
      <c r="B71" s="394" t="s">
        <v>358</v>
      </c>
      <c r="C71" s="394" t="s">
        <v>273</v>
      </c>
      <c r="D71" s="394" t="s">
        <v>15</v>
      </c>
      <c r="E71" s="311">
        <f>'d3'!E71-'d3-чистий'!E71</f>
        <v>0</v>
      </c>
      <c r="F71" s="311">
        <f>'d3'!F71-'d3-чистий'!F71</f>
        <v>0</v>
      </c>
      <c r="G71" s="311">
        <f>'d3'!G71-'d3-чистий'!G71</f>
        <v>0</v>
      </c>
      <c r="H71" s="311">
        <f>'d3'!H71-'d3-чистий'!H71</f>
        <v>0</v>
      </c>
      <c r="I71" s="311">
        <f>'d3'!I71-'d3-чистий'!I71</f>
        <v>0</v>
      </c>
      <c r="J71" s="311">
        <f>'d3'!J71-'d3-чистий'!J71</f>
        <v>0</v>
      </c>
      <c r="K71" s="311">
        <f>'d3'!K71-'d3-чистий'!K71</f>
        <v>0</v>
      </c>
      <c r="L71" s="311">
        <f>'d3'!L71-'d3-чистий'!L71</f>
        <v>0</v>
      </c>
      <c r="M71" s="311">
        <f>'d3'!M71-'d3-чистий'!M71</f>
        <v>0</v>
      </c>
      <c r="N71" s="311">
        <f>'d3'!N71-'d3-чистий'!N71</f>
        <v>0</v>
      </c>
      <c r="O71" s="311">
        <f>'d3'!O71-'d3-чистий'!O71</f>
        <v>0</v>
      </c>
      <c r="P71" s="311">
        <f>'d3'!P71-'d3-чистий'!P71</f>
        <v>0</v>
      </c>
    </row>
    <row r="72" spans="1:16" s="118" customFormat="1" ht="137.25" x14ac:dyDescent="0.2">
      <c r="A72" s="394" t="s">
        <v>883</v>
      </c>
      <c r="B72" s="394" t="s">
        <v>885</v>
      </c>
      <c r="C72" s="394" t="s">
        <v>273</v>
      </c>
      <c r="D72" s="394" t="s">
        <v>884</v>
      </c>
      <c r="E72" s="311">
        <f>'d3'!E72-'d3-чистий'!E72</f>
        <v>0</v>
      </c>
      <c r="F72" s="311">
        <f>'d3'!F72-'d3-чистий'!F72</f>
        <v>0</v>
      </c>
      <c r="G72" s="311">
        <f>'d3'!G72-'d3-чистий'!G72</f>
        <v>0</v>
      </c>
      <c r="H72" s="311">
        <f>'d3'!H72-'d3-чистий'!H72</f>
        <v>0</v>
      </c>
      <c r="I72" s="311">
        <f>'d3'!I72-'d3-чистий'!I72</f>
        <v>0</v>
      </c>
      <c r="J72" s="311">
        <f>'d3'!J72-'d3-чистий'!J72</f>
        <v>0</v>
      </c>
      <c r="K72" s="311">
        <f>'d3'!K72-'d3-чистий'!K72</f>
        <v>0</v>
      </c>
      <c r="L72" s="311">
        <f>'d3'!L72-'d3-чистий'!L72</f>
        <v>0</v>
      </c>
      <c r="M72" s="311">
        <f>'d3'!M72-'d3-чистий'!M72</f>
        <v>0</v>
      </c>
      <c r="N72" s="311">
        <f>'d3'!N72-'d3-чистий'!N72</f>
        <v>0</v>
      </c>
      <c r="O72" s="311">
        <f>'d3'!O72-'d3-чистий'!O72</f>
        <v>0</v>
      </c>
      <c r="P72" s="311">
        <f>'d3'!P72-'d3-чистий'!P72</f>
        <v>0</v>
      </c>
    </row>
    <row r="73" spans="1:16" ht="183" x14ac:dyDescent="0.2">
      <c r="A73" s="394" t="s">
        <v>376</v>
      </c>
      <c r="B73" s="394" t="s">
        <v>367</v>
      </c>
      <c r="C73" s="394" t="s">
        <v>297</v>
      </c>
      <c r="D73" s="394" t="s">
        <v>9</v>
      </c>
      <c r="E73" s="311">
        <f>'d3'!E73-'d3-чистий'!E73</f>
        <v>0</v>
      </c>
      <c r="F73" s="311">
        <f>'d3'!F73-'d3-чистий'!F73</f>
        <v>0</v>
      </c>
      <c r="G73" s="311">
        <f>'d3'!G73-'d3-чистий'!G73</f>
        <v>0</v>
      </c>
      <c r="H73" s="311">
        <f>'d3'!H73-'d3-чистий'!H73</f>
        <v>0</v>
      </c>
      <c r="I73" s="311">
        <f>'d3'!I73-'d3-чистий'!I73</f>
        <v>0</v>
      </c>
      <c r="J73" s="311">
        <f>'d3'!J73-'d3-чистий'!J73</f>
        <v>0</v>
      </c>
      <c r="K73" s="311">
        <f>'d3'!K73-'d3-чистий'!K73</f>
        <v>0</v>
      </c>
      <c r="L73" s="311">
        <f>'d3'!L73-'d3-чистий'!L73</f>
        <v>0</v>
      </c>
      <c r="M73" s="311">
        <f>'d3'!M73-'d3-чистий'!M73</f>
        <v>0</v>
      </c>
      <c r="N73" s="311">
        <f>'d3'!N73-'d3-чистий'!N73</f>
        <v>0</v>
      </c>
      <c r="O73" s="311">
        <f>'d3'!O73-'d3-чистий'!O73</f>
        <v>0</v>
      </c>
      <c r="P73" s="311">
        <f>'d3'!P73-'d3-чистий'!P73</f>
        <v>0</v>
      </c>
    </row>
    <row r="74" spans="1:16" s="118" customFormat="1" ht="183" x14ac:dyDescent="0.2">
      <c r="A74" s="394" t="s">
        <v>543</v>
      </c>
      <c r="B74" s="394" t="s">
        <v>544</v>
      </c>
      <c r="C74" s="394" t="s">
        <v>289</v>
      </c>
      <c r="D74" s="394" t="s">
        <v>542</v>
      </c>
      <c r="E74" s="311">
        <f>'d3'!E74-'d3-чистий'!E74</f>
        <v>0</v>
      </c>
      <c r="F74" s="311">
        <f>'d3'!F74-'d3-чистий'!F74</f>
        <v>0</v>
      </c>
      <c r="G74" s="311">
        <f>'d3'!G74-'d3-чистий'!G74</f>
        <v>0</v>
      </c>
      <c r="H74" s="311">
        <f>'d3'!H74-'d3-чистий'!H74</f>
        <v>0</v>
      </c>
      <c r="I74" s="311">
        <f>'d3'!I74-'d3-чистий'!I74</f>
        <v>0</v>
      </c>
      <c r="J74" s="311">
        <f>'d3'!J74-'d3-чистий'!J74</f>
        <v>0</v>
      </c>
      <c r="K74" s="311">
        <f>'d3'!K74-'d3-чистий'!K74</f>
        <v>0</v>
      </c>
      <c r="L74" s="311">
        <f>'d3'!L74-'d3-чистий'!L74</f>
        <v>0</v>
      </c>
      <c r="M74" s="311">
        <f>'d3'!M74-'d3-чистий'!M74</f>
        <v>0</v>
      </c>
      <c r="N74" s="311">
        <f>'d3'!N74-'d3-чистий'!N74</f>
        <v>0</v>
      </c>
      <c r="O74" s="311">
        <f>'d3'!O74-'d3-чистий'!O74</f>
        <v>0</v>
      </c>
      <c r="P74" s="311">
        <f>'d3'!P74-'d3-чистий'!P74</f>
        <v>0</v>
      </c>
    </row>
    <row r="75" spans="1:16" s="118" customFormat="1" ht="228.75" x14ac:dyDescent="0.2">
      <c r="A75" s="394" t="s">
        <v>600</v>
      </c>
      <c r="B75" s="394" t="s">
        <v>601</v>
      </c>
      <c r="C75" s="394" t="s">
        <v>289</v>
      </c>
      <c r="D75" s="394" t="s">
        <v>602</v>
      </c>
      <c r="E75" s="311">
        <f>'d3'!E75-'d3-чистий'!E75</f>
        <v>0</v>
      </c>
      <c r="F75" s="311">
        <f>'d3'!F75-'d3-чистий'!F75</f>
        <v>0</v>
      </c>
      <c r="G75" s="311">
        <f>'d3'!G75-'d3-чистий'!G75</f>
        <v>0</v>
      </c>
      <c r="H75" s="311">
        <f>'d3'!H75-'d3-чистий'!H75</f>
        <v>0</v>
      </c>
      <c r="I75" s="311">
        <f>'d3'!I75-'d3-чистий'!I75</f>
        <v>0</v>
      </c>
      <c r="J75" s="311">
        <f>'d3'!J75-'d3-чистий'!J75</f>
        <v>0</v>
      </c>
      <c r="K75" s="311">
        <f>'d3'!K75-'d3-чистий'!K75</f>
        <v>0</v>
      </c>
      <c r="L75" s="311">
        <f>'d3'!L75-'d3-чистий'!L75</f>
        <v>0</v>
      </c>
      <c r="M75" s="311">
        <f>'d3'!M75-'d3-чистий'!M75</f>
        <v>0</v>
      </c>
      <c r="N75" s="311">
        <f>'d3'!N75-'d3-чистий'!N75</f>
        <v>0</v>
      </c>
      <c r="O75" s="311">
        <f>'d3'!O75-'d3-чистий'!O75</f>
        <v>0</v>
      </c>
      <c r="P75" s="311">
        <f>'d3'!P75-'d3-чистий'!P75</f>
        <v>0</v>
      </c>
    </row>
    <row r="76" spans="1:16" s="118" customFormat="1" ht="183" x14ac:dyDescent="0.2">
      <c r="A76" s="394" t="s">
        <v>540</v>
      </c>
      <c r="B76" s="394" t="s">
        <v>541</v>
      </c>
      <c r="C76" s="394" t="s">
        <v>289</v>
      </c>
      <c r="D76" s="394" t="s">
        <v>499</v>
      </c>
      <c r="E76" s="311">
        <f>'d3'!E76-'d3-чистий'!E76</f>
        <v>0</v>
      </c>
      <c r="F76" s="311">
        <f>'d3'!F76-'d3-чистий'!F76</f>
        <v>0</v>
      </c>
      <c r="G76" s="311">
        <f>'d3'!G76-'d3-чистий'!G76</f>
        <v>0</v>
      </c>
      <c r="H76" s="311">
        <f>'d3'!H76-'d3-чистий'!H76</f>
        <v>0</v>
      </c>
      <c r="I76" s="311">
        <f>'d3'!I76-'d3-чистий'!I76</f>
        <v>0</v>
      </c>
      <c r="J76" s="311">
        <f>'d3'!J76-'d3-чистий'!J76</f>
        <v>0</v>
      </c>
      <c r="K76" s="311">
        <f>'d3'!K76-'d3-чистий'!K76</f>
        <v>0</v>
      </c>
      <c r="L76" s="311">
        <f>'d3'!L76-'d3-чистий'!L76</f>
        <v>0</v>
      </c>
      <c r="M76" s="311">
        <f>'d3'!M76-'d3-чистий'!M76</f>
        <v>0</v>
      </c>
      <c r="N76" s="311">
        <f>'d3'!N76-'d3-чистий'!N76</f>
        <v>0</v>
      </c>
      <c r="O76" s="311">
        <f>'d3'!O76-'d3-чистий'!O76</f>
        <v>0</v>
      </c>
      <c r="P76" s="311">
        <f>'d3'!P76-'d3-чистий'!P76</f>
        <v>0</v>
      </c>
    </row>
    <row r="77" spans="1:16" s="118" customFormat="1" ht="274.5" x14ac:dyDescent="0.2">
      <c r="A77" s="394" t="s">
        <v>547</v>
      </c>
      <c r="B77" s="394" t="s">
        <v>548</v>
      </c>
      <c r="C77" s="394" t="s">
        <v>273</v>
      </c>
      <c r="D77" s="394" t="s">
        <v>549</v>
      </c>
      <c r="E77" s="311">
        <f>'d3'!E77-'d3-чистий'!E77</f>
        <v>0</v>
      </c>
      <c r="F77" s="311">
        <f>'d3'!F77-'d3-чистий'!F77</f>
        <v>0</v>
      </c>
      <c r="G77" s="311">
        <f>'d3'!G77-'d3-чистий'!G77</f>
        <v>0</v>
      </c>
      <c r="H77" s="311">
        <f>'d3'!H77-'d3-чистий'!H77</f>
        <v>0</v>
      </c>
      <c r="I77" s="311">
        <f>'d3'!I77-'d3-чистий'!I77</f>
        <v>0</v>
      </c>
      <c r="J77" s="311">
        <f>'d3'!J77-'d3-чистий'!J77</f>
        <v>0</v>
      </c>
      <c r="K77" s="311">
        <f>'d3'!K77-'d3-чистий'!K77</f>
        <v>0</v>
      </c>
      <c r="L77" s="311">
        <f>'d3'!L77-'d3-чистий'!L77</f>
        <v>0</v>
      </c>
      <c r="M77" s="311">
        <f>'d3'!M77-'d3-чистий'!M77</f>
        <v>0</v>
      </c>
      <c r="N77" s="311">
        <f>'d3'!N77-'d3-чистий'!N77</f>
        <v>0</v>
      </c>
      <c r="O77" s="311">
        <f>'d3'!O77-'d3-чистий'!O77</f>
        <v>0</v>
      </c>
      <c r="P77" s="311">
        <f>'d3'!P77-'d3-чистий'!P77</f>
        <v>0</v>
      </c>
    </row>
    <row r="78" spans="1:16" s="118" customFormat="1" ht="320.25" x14ac:dyDescent="0.2">
      <c r="A78" s="394" t="s">
        <v>545</v>
      </c>
      <c r="B78" s="394" t="s">
        <v>546</v>
      </c>
      <c r="C78" s="394" t="s">
        <v>289</v>
      </c>
      <c r="D78" s="394" t="s">
        <v>550</v>
      </c>
      <c r="E78" s="311">
        <f>'d3'!E78-'d3-чистий'!E78</f>
        <v>0</v>
      </c>
      <c r="F78" s="311">
        <f>'d3'!F78-'d3-чистий'!F78</f>
        <v>0</v>
      </c>
      <c r="G78" s="311">
        <f>'d3'!G78-'d3-чистий'!G78</f>
        <v>0</v>
      </c>
      <c r="H78" s="311">
        <f>'d3'!H78-'d3-чистий'!H78</f>
        <v>0</v>
      </c>
      <c r="I78" s="311">
        <f>'d3'!I78-'d3-чистий'!I78</f>
        <v>0</v>
      </c>
      <c r="J78" s="311">
        <f>'d3'!J78-'d3-чистий'!J78</f>
        <v>0</v>
      </c>
      <c r="K78" s="311">
        <f>'d3'!K78-'d3-чистий'!K78</f>
        <v>0</v>
      </c>
      <c r="L78" s="311">
        <f>'d3'!L78-'d3-чистий'!L78</f>
        <v>0</v>
      </c>
      <c r="M78" s="311">
        <f>'d3'!M78-'d3-чистий'!M78</f>
        <v>0</v>
      </c>
      <c r="N78" s="311">
        <f>'d3'!N78-'d3-чистий'!N78</f>
        <v>0</v>
      </c>
      <c r="O78" s="311">
        <f>'d3'!O78-'d3-чистий'!O78</f>
        <v>0</v>
      </c>
      <c r="P78" s="311">
        <f>'d3'!P78-'d3-чистий'!P78</f>
        <v>0</v>
      </c>
    </row>
    <row r="79" spans="1:16" s="118" customFormat="1" ht="364.7" customHeight="1" x14ac:dyDescent="0.65">
      <c r="A79" s="476" t="s">
        <v>870</v>
      </c>
      <c r="B79" s="476" t="s">
        <v>871</v>
      </c>
      <c r="C79" s="476" t="s">
        <v>273</v>
      </c>
      <c r="D79" s="273" t="s">
        <v>872</v>
      </c>
      <c r="E79" s="491">
        <f>'d3'!E79-'d3-чистий'!E79</f>
        <v>0</v>
      </c>
      <c r="F79" s="491">
        <f>'d3'!F79-'d3-чистий'!F79</f>
        <v>0</v>
      </c>
      <c r="G79" s="491">
        <f>'d3'!G79-'d3-чистий'!G79</f>
        <v>0</v>
      </c>
      <c r="H79" s="491">
        <f>'d3'!H79-'d3-чистий'!H79</f>
        <v>0</v>
      </c>
      <c r="I79" s="491">
        <f>'d3'!I79-'d3-чистий'!I79</f>
        <v>0</v>
      </c>
      <c r="J79" s="491">
        <f>'d3'!J79-'d3-чистий'!J79</f>
        <v>0</v>
      </c>
      <c r="K79" s="491">
        <f>'d3'!K79-'d3-чистий'!K79</f>
        <v>0</v>
      </c>
      <c r="L79" s="491">
        <f>'d3'!L79-'d3-чистий'!L79</f>
        <v>0</v>
      </c>
      <c r="M79" s="491">
        <f>'d3'!M79-'d3-чистий'!M79</f>
        <v>0</v>
      </c>
      <c r="N79" s="491">
        <f>'d3'!N79-'d3-чистий'!N79</f>
        <v>0</v>
      </c>
      <c r="O79" s="491">
        <f>'d3'!O79-'d3-чистий'!O79</f>
        <v>0</v>
      </c>
      <c r="P79" s="491">
        <f>'d3'!P79-'d3-чистий'!P79</f>
        <v>0</v>
      </c>
    </row>
    <row r="80" spans="1:16" s="118" customFormat="1" ht="334.5" customHeight="1" x14ac:dyDescent="0.2">
      <c r="A80" s="477"/>
      <c r="B80" s="477"/>
      <c r="C80" s="477"/>
      <c r="D80" s="274" t="s">
        <v>873</v>
      </c>
      <c r="E80" s="469"/>
      <c r="F80" s="469"/>
      <c r="G80" s="469"/>
      <c r="H80" s="469"/>
      <c r="I80" s="469"/>
      <c r="J80" s="469"/>
      <c r="K80" s="469"/>
      <c r="L80" s="469"/>
      <c r="M80" s="469"/>
      <c r="N80" s="469"/>
      <c r="O80" s="469"/>
      <c r="P80" s="469"/>
    </row>
    <row r="81" spans="1:16" s="118" customFormat="1" ht="137.25" x14ac:dyDescent="0.2">
      <c r="A81" s="394" t="s">
        <v>904</v>
      </c>
      <c r="B81" s="394" t="s">
        <v>905</v>
      </c>
      <c r="C81" s="394" t="s">
        <v>273</v>
      </c>
      <c r="D81" s="394" t="s">
        <v>906</v>
      </c>
      <c r="E81" s="311">
        <f>'d3'!E81-'d3-чистий'!E81</f>
        <v>0</v>
      </c>
      <c r="F81" s="311">
        <f>'d3'!F81-'d3-чистий'!F81</f>
        <v>0</v>
      </c>
      <c r="G81" s="311">
        <f>'d3'!G81-'d3-чистий'!G81</f>
        <v>0</v>
      </c>
      <c r="H81" s="311">
        <f>'d3'!H81-'d3-чистий'!H81</f>
        <v>0</v>
      </c>
      <c r="I81" s="311">
        <f>'d3'!I81-'d3-чистий'!I81</f>
        <v>0</v>
      </c>
      <c r="J81" s="311">
        <f>'d3'!J81-'d3-чистий'!J81</f>
        <v>0</v>
      </c>
      <c r="K81" s="311">
        <f>'d3'!K81-'d3-чистий'!K81</f>
        <v>0</v>
      </c>
      <c r="L81" s="311">
        <f>'d3'!L81-'d3-чистий'!L81</f>
        <v>0</v>
      </c>
      <c r="M81" s="311">
        <f>'d3'!M81-'d3-чистий'!M81</f>
        <v>0</v>
      </c>
      <c r="N81" s="311">
        <f>'d3'!N81-'d3-чистий'!N81</f>
        <v>0</v>
      </c>
      <c r="O81" s="311">
        <f>'d3'!O81-'d3-чистий'!O81</f>
        <v>0</v>
      </c>
      <c r="P81" s="311">
        <f>'d3'!P81-'d3-чистий'!P81</f>
        <v>0</v>
      </c>
    </row>
    <row r="82" spans="1:16" ht="163.5" customHeight="1" x14ac:dyDescent="0.2">
      <c r="A82" s="394" t="s">
        <v>377</v>
      </c>
      <c r="B82" s="394" t="s">
        <v>368</v>
      </c>
      <c r="C82" s="394" t="s">
        <v>296</v>
      </c>
      <c r="D82" s="394" t="s">
        <v>500</v>
      </c>
      <c r="E82" s="311">
        <f>'d3'!E82-'d3-чистий'!E82</f>
        <v>-34434</v>
      </c>
      <c r="F82" s="311">
        <f>'d3'!F82-'d3-чистий'!F82</f>
        <v>-34434</v>
      </c>
      <c r="G82" s="311">
        <f>'d3'!G82-'d3-чистий'!G82</f>
        <v>0</v>
      </c>
      <c r="H82" s="311">
        <f>'d3'!H82-'d3-чистий'!H82</f>
        <v>0</v>
      </c>
      <c r="I82" s="311">
        <f>'d3'!I82-'d3-чистий'!I82</f>
        <v>0</v>
      </c>
      <c r="J82" s="311">
        <f>'d3'!J82-'d3-чистий'!J82</f>
        <v>0</v>
      </c>
      <c r="K82" s="311">
        <f>'d3'!K82-'d3-чистий'!K82</f>
        <v>0</v>
      </c>
      <c r="L82" s="311">
        <f>'d3'!L82-'d3-чистий'!L82</f>
        <v>0</v>
      </c>
      <c r="M82" s="311">
        <f>'d3'!M82-'d3-чистий'!M82</f>
        <v>0</v>
      </c>
      <c r="N82" s="311">
        <f>'d3'!N82-'d3-чистий'!N82</f>
        <v>0</v>
      </c>
      <c r="O82" s="311">
        <f>'d3'!O82-'d3-чистий'!O82</f>
        <v>0</v>
      </c>
      <c r="P82" s="311">
        <f>'d3'!P82-'d3-чистий'!P82</f>
        <v>-34434</v>
      </c>
    </row>
    <row r="83" spans="1:16" ht="301.7" customHeight="1" x14ac:dyDescent="0.2">
      <c r="A83" s="394" t="s">
        <v>398</v>
      </c>
      <c r="B83" s="394" t="s">
        <v>396</v>
      </c>
      <c r="C83" s="394" t="s">
        <v>290</v>
      </c>
      <c r="D83" s="394" t="s">
        <v>35</v>
      </c>
      <c r="E83" s="311">
        <f>'d3'!E83-'d3-чистий'!E83</f>
        <v>-32800</v>
      </c>
      <c r="F83" s="311">
        <f>'d3'!F83-'d3-чистий'!F83</f>
        <v>-32800</v>
      </c>
      <c r="G83" s="311">
        <f>'d3'!G83-'d3-чистий'!G83</f>
        <v>36000</v>
      </c>
      <c r="H83" s="311">
        <f>'d3'!H83-'d3-чистий'!H83</f>
        <v>-25000</v>
      </c>
      <c r="I83" s="311">
        <f>'d3'!I83-'d3-чистий'!I83</f>
        <v>0</v>
      </c>
      <c r="J83" s="311">
        <f>'d3'!J83-'d3-чистий'!J83</f>
        <v>0</v>
      </c>
      <c r="K83" s="311">
        <f>'d3'!K83-'d3-чистий'!K83</f>
        <v>0</v>
      </c>
      <c r="L83" s="311">
        <f>'d3'!L83-'d3-чистий'!L83</f>
        <v>0</v>
      </c>
      <c r="M83" s="311">
        <f>'d3'!M83-'d3-чистий'!M83</f>
        <v>0</v>
      </c>
      <c r="N83" s="311">
        <f>'d3'!N83-'d3-чистий'!N83</f>
        <v>0</v>
      </c>
      <c r="O83" s="311">
        <f>'d3'!O83-'d3-чистий'!O83</f>
        <v>0</v>
      </c>
      <c r="P83" s="311">
        <f>'d3'!P83-'d3-чистий'!P83</f>
        <v>-32800</v>
      </c>
    </row>
    <row r="84" spans="1:16" ht="137.25" x14ac:dyDescent="0.2">
      <c r="A84" s="394" t="s">
        <v>399</v>
      </c>
      <c r="B84" s="394" t="s">
        <v>397</v>
      </c>
      <c r="C84" s="394" t="s">
        <v>289</v>
      </c>
      <c r="D84" s="394" t="s">
        <v>501</v>
      </c>
      <c r="E84" s="311">
        <f>'d3'!E84-'d3-чистий'!E84</f>
        <v>-102059</v>
      </c>
      <c r="F84" s="311">
        <f>'d3'!F84-'d3-чистий'!F84</f>
        <v>-102059</v>
      </c>
      <c r="G84" s="311">
        <f>'d3'!G84-'d3-чистий'!G84</f>
        <v>-68600</v>
      </c>
      <c r="H84" s="311">
        <f>'d3'!H84-'d3-чистий'!H84</f>
        <v>30941</v>
      </c>
      <c r="I84" s="311">
        <f>'d3'!I84-'d3-чистий'!I84</f>
        <v>0</v>
      </c>
      <c r="J84" s="311">
        <f>'d3'!J84-'d3-чистий'!J84</f>
        <v>0</v>
      </c>
      <c r="K84" s="311">
        <f>'d3'!K84-'d3-чистий'!K84</f>
        <v>0</v>
      </c>
      <c r="L84" s="311">
        <f>'d3'!L84-'d3-чистий'!L84</f>
        <v>0</v>
      </c>
      <c r="M84" s="311">
        <f>'d3'!M84-'d3-чистий'!M84</f>
        <v>0</v>
      </c>
      <c r="N84" s="311">
        <f>'d3'!N84-'d3-чистий'!N84</f>
        <v>0</v>
      </c>
      <c r="O84" s="311">
        <f>'d3'!O84-'d3-чистий'!O84</f>
        <v>0</v>
      </c>
      <c r="P84" s="311">
        <f>'d3'!P84-'d3-чистий'!P84</f>
        <v>-102059</v>
      </c>
    </row>
    <row r="85" spans="1:16" ht="409.5" x14ac:dyDescent="0.2">
      <c r="A85" s="394" t="s">
        <v>394</v>
      </c>
      <c r="B85" s="394" t="s">
        <v>395</v>
      </c>
      <c r="C85" s="394" t="s">
        <v>289</v>
      </c>
      <c r="D85" s="394" t="s">
        <v>502</v>
      </c>
      <c r="E85" s="311">
        <f>'d3'!E85-'d3-чистий'!E85</f>
        <v>-280000</v>
      </c>
      <c r="F85" s="311">
        <f>'d3'!F85-'d3-чистий'!F85</f>
        <v>-280000</v>
      </c>
      <c r="G85" s="311">
        <f>'d3'!G85-'d3-чистий'!G85</f>
        <v>0</v>
      </c>
      <c r="H85" s="311">
        <f>'d3'!H85-'d3-чистий'!H85</f>
        <v>0</v>
      </c>
      <c r="I85" s="311">
        <f>'d3'!I85-'d3-чистий'!I85</f>
        <v>0</v>
      </c>
      <c r="J85" s="311">
        <f>'d3'!J85-'d3-чистий'!J85</f>
        <v>0</v>
      </c>
      <c r="K85" s="311">
        <f>'d3'!K85-'d3-чистий'!K85</f>
        <v>0</v>
      </c>
      <c r="L85" s="311">
        <f>'d3'!L85-'d3-чистий'!L85</f>
        <v>0</v>
      </c>
      <c r="M85" s="311">
        <f>'d3'!M85-'d3-чистий'!M85</f>
        <v>0</v>
      </c>
      <c r="N85" s="311">
        <f>'d3'!N85-'d3-чистий'!N85</f>
        <v>0</v>
      </c>
      <c r="O85" s="311">
        <f>'d3'!O85-'d3-чистий'!O85</f>
        <v>0</v>
      </c>
      <c r="P85" s="311">
        <f>'d3'!P85-'d3-чистий'!P85</f>
        <v>-280000</v>
      </c>
    </row>
    <row r="86" spans="1:16" ht="274.5" x14ac:dyDescent="0.2">
      <c r="A86" s="394" t="s">
        <v>503</v>
      </c>
      <c r="B86" s="394" t="s">
        <v>504</v>
      </c>
      <c r="C86" s="394" t="s">
        <v>289</v>
      </c>
      <c r="D86" s="394" t="s">
        <v>551</v>
      </c>
      <c r="E86" s="311">
        <f>'d3'!E86-'d3-чистий'!E86</f>
        <v>0</v>
      </c>
      <c r="F86" s="311">
        <f>'d3'!F86-'d3-чистий'!F86</f>
        <v>0</v>
      </c>
      <c r="G86" s="311">
        <f>'d3'!G86-'d3-чистий'!G86</f>
        <v>0</v>
      </c>
      <c r="H86" s="311">
        <f>'d3'!H86-'d3-чистий'!H86</f>
        <v>0</v>
      </c>
      <c r="I86" s="311">
        <f>'d3'!I86-'d3-чистий'!I86</f>
        <v>0</v>
      </c>
      <c r="J86" s="311">
        <f>'d3'!J86-'d3-чистий'!J86</f>
        <v>0</v>
      </c>
      <c r="K86" s="311">
        <f>'d3'!K86-'d3-чистий'!K86</f>
        <v>0</v>
      </c>
      <c r="L86" s="311">
        <f>'d3'!L86-'d3-чистий'!L86</f>
        <v>0</v>
      </c>
      <c r="M86" s="311">
        <f>'d3'!M86-'d3-чистий'!M86</f>
        <v>0</v>
      </c>
      <c r="N86" s="311">
        <f>'d3'!N86-'d3-чистий'!N86</f>
        <v>0</v>
      </c>
      <c r="O86" s="311">
        <f>'d3'!O86-'d3-чистий'!O86</f>
        <v>0</v>
      </c>
      <c r="P86" s="311">
        <f>'d3'!P86-'d3-чистий'!P86</f>
        <v>0</v>
      </c>
    </row>
    <row r="87" spans="1:16" ht="112.7" customHeight="1" x14ac:dyDescent="0.2">
      <c r="A87" s="394" t="s">
        <v>505</v>
      </c>
      <c r="B87" s="394" t="s">
        <v>506</v>
      </c>
      <c r="C87" s="394" t="s">
        <v>289</v>
      </c>
      <c r="D87" s="394" t="s">
        <v>552</v>
      </c>
      <c r="E87" s="311">
        <f>'d3'!E87-'d3-чистий'!E87</f>
        <v>0</v>
      </c>
      <c r="F87" s="311">
        <f>'d3'!F87-'d3-чистий'!F87</f>
        <v>0</v>
      </c>
      <c r="G87" s="311">
        <f>'d3'!G87-'d3-чистий'!G87</f>
        <v>0</v>
      </c>
      <c r="H87" s="311">
        <f>'d3'!H87-'d3-чистий'!H87</f>
        <v>0</v>
      </c>
      <c r="I87" s="311">
        <f>'d3'!I87-'d3-чистий'!I87</f>
        <v>0</v>
      </c>
      <c r="J87" s="311">
        <f>'d3'!J87-'d3-чистий'!J87</f>
        <v>0</v>
      </c>
      <c r="K87" s="311">
        <f>'d3'!K87-'d3-чистий'!K87</f>
        <v>0</v>
      </c>
      <c r="L87" s="311">
        <f>'d3'!L87-'d3-чистий'!L87</f>
        <v>0</v>
      </c>
      <c r="M87" s="311">
        <f>'d3'!M87-'d3-чистий'!M87</f>
        <v>0</v>
      </c>
      <c r="N87" s="311">
        <f>'d3'!N87-'d3-чистий'!N87</f>
        <v>0</v>
      </c>
      <c r="O87" s="311">
        <f>'d3'!O87-'d3-чистий'!O87</f>
        <v>0</v>
      </c>
      <c r="P87" s="311">
        <f>'d3'!P87-'d3-чистий'!P87</f>
        <v>0</v>
      </c>
    </row>
    <row r="88" spans="1:16" ht="366" x14ac:dyDescent="0.2">
      <c r="A88" s="394" t="s">
        <v>555</v>
      </c>
      <c r="B88" s="394" t="s">
        <v>554</v>
      </c>
      <c r="C88" s="394" t="s">
        <v>79</v>
      </c>
      <c r="D88" s="394" t="s">
        <v>553</v>
      </c>
      <c r="E88" s="311">
        <f>'d3'!E88-'d3-чистий'!E88</f>
        <v>0</v>
      </c>
      <c r="F88" s="311">
        <f>'d3'!F88-'d3-чистий'!F88</f>
        <v>0</v>
      </c>
      <c r="G88" s="311">
        <f>'d3'!G88-'d3-чистий'!G88</f>
        <v>0</v>
      </c>
      <c r="H88" s="311">
        <f>'d3'!H88-'d3-чистий'!H88</f>
        <v>0</v>
      </c>
      <c r="I88" s="311">
        <f>'d3'!I88-'d3-чистий'!I88</f>
        <v>0</v>
      </c>
      <c r="J88" s="311">
        <f>'d3'!J88-'d3-чистий'!J88</f>
        <v>0</v>
      </c>
      <c r="K88" s="311">
        <f>'d3'!K88-'d3-чистий'!K88</f>
        <v>0</v>
      </c>
      <c r="L88" s="311">
        <f>'d3'!L88-'d3-чистий'!L88</f>
        <v>0</v>
      </c>
      <c r="M88" s="311">
        <f>'d3'!M88-'d3-чистий'!M88</f>
        <v>0</v>
      </c>
      <c r="N88" s="311">
        <f>'d3'!N88-'d3-чистий'!N88</f>
        <v>0</v>
      </c>
      <c r="O88" s="311">
        <f>'d3'!O88-'d3-чистий'!O88</f>
        <v>0</v>
      </c>
      <c r="P88" s="311">
        <f>'d3'!P88-'d3-чистий'!P88</f>
        <v>0</v>
      </c>
    </row>
    <row r="89" spans="1:16" ht="228.75" x14ac:dyDescent="0.2">
      <c r="A89" s="394" t="s">
        <v>507</v>
      </c>
      <c r="B89" s="394" t="s">
        <v>508</v>
      </c>
      <c r="C89" s="394" t="s">
        <v>296</v>
      </c>
      <c r="D89" s="394" t="s">
        <v>556</v>
      </c>
      <c r="E89" s="311">
        <f>'d3'!E89-'d3-чистий'!E89</f>
        <v>0</v>
      </c>
      <c r="F89" s="311">
        <f>'d3'!F89-'d3-чистий'!F89</f>
        <v>0</v>
      </c>
      <c r="G89" s="311">
        <f>'d3'!G89-'d3-чистий'!G89</f>
        <v>0</v>
      </c>
      <c r="H89" s="311">
        <f>'d3'!H89-'d3-чистий'!H89</f>
        <v>0</v>
      </c>
      <c r="I89" s="311">
        <f>'d3'!I89-'d3-чистий'!I89</f>
        <v>0</v>
      </c>
      <c r="J89" s="311">
        <f>'d3'!J89-'d3-чистий'!J89</f>
        <v>0</v>
      </c>
      <c r="K89" s="311">
        <f>'d3'!K89-'d3-чистий'!K89</f>
        <v>0</v>
      </c>
      <c r="L89" s="311">
        <f>'d3'!L89-'d3-чистий'!L89</f>
        <v>0</v>
      </c>
      <c r="M89" s="311">
        <f>'d3'!M89-'d3-чистий'!M89</f>
        <v>0</v>
      </c>
      <c r="N89" s="311">
        <f>'d3'!N89-'d3-чистий'!N89</f>
        <v>0</v>
      </c>
      <c r="O89" s="311">
        <f>'d3'!O89-'d3-чистий'!O89</f>
        <v>0</v>
      </c>
      <c r="P89" s="311">
        <f>'d3'!P89-'d3-чистий'!P89</f>
        <v>0</v>
      </c>
    </row>
    <row r="90" spans="1:16" ht="91.5" x14ac:dyDescent="0.2">
      <c r="A90" s="394" t="s">
        <v>766</v>
      </c>
      <c r="B90" s="394" t="s">
        <v>616</v>
      </c>
      <c r="C90" s="394" t="s">
        <v>617</v>
      </c>
      <c r="D90" s="394" t="s">
        <v>615</v>
      </c>
      <c r="E90" s="311">
        <f>'d3'!E90-'d3-чистий'!E90</f>
        <v>0</v>
      </c>
      <c r="F90" s="311">
        <f>'d3'!F90-'d3-чистий'!F90</f>
        <v>0</v>
      </c>
      <c r="G90" s="311">
        <f>'d3'!G90-'d3-чистий'!G90</f>
        <v>0</v>
      </c>
      <c r="H90" s="311">
        <f>'d3'!H90-'d3-чистий'!H90</f>
        <v>0</v>
      </c>
      <c r="I90" s="311">
        <f>'d3'!I90-'d3-чистий'!I90</f>
        <v>0</v>
      </c>
      <c r="J90" s="311">
        <f>'d3'!J90-'d3-чистий'!J90</f>
        <v>0</v>
      </c>
      <c r="K90" s="311">
        <f>'d3'!K90-'d3-чистий'!K90</f>
        <v>0</v>
      </c>
      <c r="L90" s="311">
        <f>'d3'!L90-'d3-чистий'!L90</f>
        <v>0</v>
      </c>
      <c r="M90" s="311">
        <f>'d3'!M90-'d3-чистий'!M90</f>
        <v>0</v>
      </c>
      <c r="N90" s="311">
        <f>'d3'!N90-'d3-чистий'!N90</f>
        <v>0</v>
      </c>
      <c r="O90" s="311">
        <f>'d3'!O90-'d3-чистий'!O90</f>
        <v>0</v>
      </c>
      <c r="P90" s="311">
        <f>'d3'!P90-'d3-чистий'!P90</f>
        <v>0</v>
      </c>
    </row>
    <row r="91" spans="1:16" ht="409.5" x14ac:dyDescent="0.2">
      <c r="A91" s="476" t="s">
        <v>925</v>
      </c>
      <c r="B91" s="476" t="s">
        <v>926</v>
      </c>
      <c r="C91" s="476" t="s">
        <v>79</v>
      </c>
      <c r="D91" s="276" t="s">
        <v>927</v>
      </c>
      <c r="E91" s="491">
        <f>'d3'!E91-'d3-чистий'!E91</f>
        <v>0</v>
      </c>
      <c r="F91" s="491">
        <f>'d3'!F91-'d3-чистий'!F91</f>
        <v>0</v>
      </c>
      <c r="G91" s="491">
        <f>'d3'!G91-'d3-чистий'!G91</f>
        <v>0</v>
      </c>
      <c r="H91" s="491">
        <f>'d3'!H91-'d3-чистий'!H91</f>
        <v>0</v>
      </c>
      <c r="I91" s="491">
        <f>'d3'!I91-'d3-чистий'!I91</f>
        <v>0</v>
      </c>
      <c r="J91" s="491">
        <f>'d3'!J91-'d3-чистий'!J91</f>
        <v>0</v>
      </c>
      <c r="K91" s="491">
        <f>'d3'!K91-'d3-чистий'!K91</f>
        <v>0</v>
      </c>
      <c r="L91" s="491">
        <f>'d3'!L91-'d3-чистий'!L91</f>
        <v>0</v>
      </c>
      <c r="M91" s="491">
        <f>'d3'!M91-'d3-чистий'!M91</f>
        <v>0</v>
      </c>
      <c r="N91" s="491">
        <f>'d3'!N91-'d3-чистий'!N91</f>
        <v>0</v>
      </c>
      <c r="O91" s="491">
        <f>'d3'!O91-'d3-чистий'!O91</f>
        <v>0</v>
      </c>
      <c r="P91" s="491">
        <f>'d3'!P91-'d3-чистий'!P91</f>
        <v>0</v>
      </c>
    </row>
    <row r="92" spans="1:16" ht="409.5" x14ac:dyDescent="0.2">
      <c r="A92" s="492"/>
      <c r="B92" s="492"/>
      <c r="C92" s="492"/>
      <c r="D92" s="276" t="s">
        <v>928</v>
      </c>
      <c r="E92" s="589"/>
      <c r="F92" s="589"/>
      <c r="G92" s="589"/>
      <c r="H92" s="589"/>
      <c r="I92" s="589"/>
      <c r="J92" s="589"/>
      <c r="K92" s="589"/>
      <c r="L92" s="589"/>
      <c r="M92" s="589"/>
      <c r="N92" s="589"/>
      <c r="O92" s="589"/>
      <c r="P92" s="589"/>
    </row>
    <row r="93" spans="1:16" ht="409.5" x14ac:dyDescent="0.2">
      <c r="A93" s="477"/>
      <c r="B93" s="477"/>
      <c r="C93" s="477"/>
      <c r="D93" s="277" t="s">
        <v>929</v>
      </c>
      <c r="E93" s="469"/>
      <c r="F93" s="469"/>
      <c r="G93" s="469"/>
      <c r="H93" s="469"/>
      <c r="I93" s="469"/>
      <c r="J93" s="469"/>
      <c r="K93" s="469"/>
      <c r="L93" s="469"/>
      <c r="M93" s="469"/>
      <c r="N93" s="469"/>
      <c r="O93" s="469"/>
      <c r="P93" s="469"/>
    </row>
    <row r="94" spans="1:16" ht="409.5" x14ac:dyDescent="0.2">
      <c r="A94" s="507">
        <v>813222</v>
      </c>
      <c r="B94" s="507">
        <v>3222</v>
      </c>
      <c r="C94" s="507">
        <v>1060</v>
      </c>
      <c r="D94" s="339" t="s">
        <v>978</v>
      </c>
      <c r="E94" s="491">
        <f>'d3'!E94-'d3-чистий'!E94</f>
        <v>0</v>
      </c>
      <c r="F94" s="491">
        <f>'d3'!F94-'d3-чистий'!F94</f>
        <v>0</v>
      </c>
      <c r="G94" s="491">
        <f>'d3'!G94-'d3-чистий'!G94</f>
        <v>0</v>
      </c>
      <c r="H94" s="491">
        <f>'d3'!H94-'d3-чистий'!H94</f>
        <v>0</v>
      </c>
      <c r="I94" s="491">
        <f>'d3'!I94-'d3-чистий'!I94</f>
        <v>0</v>
      </c>
      <c r="J94" s="491">
        <f>'d3'!J94-'d3-чистий'!J94</f>
        <v>0</v>
      </c>
      <c r="K94" s="491">
        <f>'d3'!K94-'d3-чистий'!K94</f>
        <v>0</v>
      </c>
      <c r="L94" s="491">
        <f>'d3'!L94-'d3-чистий'!L94</f>
        <v>0</v>
      </c>
      <c r="M94" s="491">
        <f>'d3'!M94-'d3-чистий'!M94</f>
        <v>0</v>
      </c>
      <c r="N94" s="491">
        <f>'d3'!N94-'d3-чистий'!N94</f>
        <v>0</v>
      </c>
      <c r="O94" s="491">
        <f>'d3'!O94-'d3-чистий'!O94</f>
        <v>0</v>
      </c>
      <c r="P94" s="491">
        <f>'d3'!P94-'d3-чистий'!P94</f>
        <v>0</v>
      </c>
    </row>
    <row r="95" spans="1:16" ht="409.5" x14ac:dyDescent="0.2">
      <c r="A95" s="504"/>
      <c r="B95" s="504"/>
      <c r="C95" s="504"/>
      <c r="D95" s="277" t="s">
        <v>979</v>
      </c>
      <c r="E95" s="589"/>
      <c r="F95" s="589"/>
      <c r="G95" s="589"/>
      <c r="H95" s="589"/>
      <c r="I95" s="589"/>
      <c r="J95" s="589"/>
      <c r="K95" s="589"/>
      <c r="L95" s="589"/>
      <c r="M95" s="589"/>
      <c r="N95" s="589"/>
      <c r="O95" s="589"/>
      <c r="P95" s="589"/>
    </row>
    <row r="96" spans="1:16" ht="409.5" x14ac:dyDescent="0.2">
      <c r="A96" s="504"/>
      <c r="B96" s="504"/>
      <c r="C96" s="504"/>
      <c r="D96" s="277" t="s">
        <v>980</v>
      </c>
      <c r="E96" s="589"/>
      <c r="F96" s="589"/>
      <c r="G96" s="589"/>
      <c r="H96" s="589"/>
      <c r="I96" s="589"/>
      <c r="J96" s="589"/>
      <c r="K96" s="589"/>
      <c r="L96" s="589"/>
      <c r="M96" s="589"/>
      <c r="N96" s="589"/>
      <c r="O96" s="589"/>
      <c r="P96" s="589"/>
    </row>
    <row r="97" spans="1:16" ht="183" customHeight="1" x14ac:dyDescent="0.2">
      <c r="A97" s="505"/>
      <c r="B97" s="505"/>
      <c r="C97" s="505"/>
      <c r="D97" s="277" t="s">
        <v>981</v>
      </c>
      <c r="E97" s="469"/>
      <c r="F97" s="469"/>
      <c r="G97" s="469"/>
      <c r="H97" s="469"/>
      <c r="I97" s="469"/>
      <c r="J97" s="469"/>
      <c r="K97" s="469"/>
      <c r="L97" s="469"/>
      <c r="M97" s="469"/>
      <c r="N97" s="469"/>
      <c r="O97" s="469"/>
      <c r="P97" s="469"/>
    </row>
    <row r="98" spans="1:16" ht="409.5" x14ac:dyDescent="0.2">
      <c r="A98" s="476" t="s">
        <v>930</v>
      </c>
      <c r="B98" s="476" t="s">
        <v>931</v>
      </c>
      <c r="C98" s="476" t="s">
        <v>79</v>
      </c>
      <c r="D98" s="278" t="s">
        <v>932</v>
      </c>
      <c r="E98" s="491">
        <f>'d3'!E98-'d3-чистий'!E98</f>
        <v>0</v>
      </c>
      <c r="F98" s="491">
        <f>'d3'!F98-'d3-чистий'!F98</f>
        <v>0</v>
      </c>
      <c r="G98" s="491">
        <f>'d3'!G98-'d3-чистий'!G98</f>
        <v>0</v>
      </c>
      <c r="H98" s="491">
        <f>'d3'!H98-'d3-чистий'!H98</f>
        <v>0</v>
      </c>
      <c r="I98" s="491">
        <f>'d3'!I98-'d3-чистий'!I98</f>
        <v>0</v>
      </c>
      <c r="J98" s="491">
        <f>'d3'!J98-'d3-чистий'!J98</f>
        <v>0</v>
      </c>
      <c r="K98" s="491">
        <f>'d3'!K98-'d3-чистий'!K98</f>
        <v>0</v>
      </c>
      <c r="L98" s="491">
        <f>'d3'!L98-'d3-чистий'!L98</f>
        <v>0</v>
      </c>
      <c r="M98" s="491">
        <f>'d3'!M98-'d3-чистий'!M98</f>
        <v>0</v>
      </c>
      <c r="N98" s="491">
        <f>'d3'!N98-'d3-чистий'!N98</f>
        <v>0</v>
      </c>
      <c r="O98" s="491">
        <f>'d3'!O98-'d3-чистий'!O98</f>
        <v>0</v>
      </c>
      <c r="P98" s="491">
        <f>'d3'!P98-'d3-чистий'!P98</f>
        <v>0</v>
      </c>
    </row>
    <row r="99" spans="1:16" ht="409.5" x14ac:dyDescent="0.2">
      <c r="A99" s="504"/>
      <c r="B99" s="504"/>
      <c r="C99" s="504"/>
      <c r="D99" s="277" t="s">
        <v>933</v>
      </c>
      <c r="E99" s="589"/>
      <c r="F99" s="589"/>
      <c r="G99" s="589"/>
      <c r="H99" s="589"/>
      <c r="I99" s="589"/>
      <c r="J99" s="589"/>
      <c r="K99" s="589"/>
      <c r="L99" s="589"/>
      <c r="M99" s="589"/>
      <c r="N99" s="589"/>
      <c r="O99" s="589"/>
      <c r="P99" s="589"/>
    </row>
    <row r="100" spans="1:16" ht="137.25" x14ac:dyDescent="0.2">
      <c r="A100" s="505"/>
      <c r="B100" s="505"/>
      <c r="C100" s="505"/>
      <c r="D100" s="277" t="s">
        <v>934</v>
      </c>
      <c r="E100" s="469"/>
      <c r="F100" s="469"/>
      <c r="G100" s="469"/>
      <c r="H100" s="469"/>
      <c r="I100" s="469"/>
      <c r="J100" s="469"/>
      <c r="K100" s="469"/>
      <c r="L100" s="469"/>
      <c r="M100" s="469"/>
      <c r="N100" s="469"/>
      <c r="O100" s="469"/>
      <c r="P100" s="469"/>
    </row>
    <row r="101" spans="1:16" ht="409.5" x14ac:dyDescent="0.2">
      <c r="A101" s="476" t="s">
        <v>393</v>
      </c>
      <c r="B101" s="476" t="s">
        <v>280</v>
      </c>
      <c r="C101" s="506" t="s">
        <v>273</v>
      </c>
      <c r="D101" s="275" t="s">
        <v>509</v>
      </c>
      <c r="E101" s="491">
        <f>'d3'!E101-'d3-чистий'!E101</f>
        <v>0</v>
      </c>
      <c r="F101" s="491">
        <f>'d3'!F101-'d3-чистий'!F101</f>
        <v>0</v>
      </c>
      <c r="G101" s="491">
        <f>'d3'!G101-'d3-чистий'!G101</f>
        <v>0</v>
      </c>
      <c r="H101" s="491">
        <f>'d3'!H101-'d3-чистий'!H101</f>
        <v>0</v>
      </c>
      <c r="I101" s="491">
        <f>'d3'!I101-'d3-чистий'!I101</f>
        <v>0</v>
      </c>
      <c r="J101" s="491">
        <f>'d3'!J101-'d3-чистий'!J101</f>
        <v>0</v>
      </c>
      <c r="K101" s="491">
        <f>'d3'!K101-'d3-чистий'!K101</f>
        <v>0</v>
      </c>
      <c r="L101" s="491">
        <f>'d3'!L101-'d3-чистий'!L101</f>
        <v>0</v>
      </c>
      <c r="M101" s="491">
        <f>'d3'!M101-'d3-чистий'!M101</f>
        <v>0</v>
      </c>
      <c r="N101" s="491">
        <f>'d3'!N101-'d3-чистий'!N101</f>
        <v>0</v>
      </c>
      <c r="O101" s="491">
        <f>'d3'!O101-'d3-чистий'!O101</f>
        <v>0</v>
      </c>
      <c r="P101" s="491">
        <f>'d3'!P101-'d3-чистий'!P101</f>
        <v>0</v>
      </c>
    </row>
    <row r="102" spans="1:16" ht="327.75" customHeight="1" x14ac:dyDescent="0.2">
      <c r="A102" s="492"/>
      <c r="B102" s="492"/>
      <c r="C102" s="503"/>
      <c r="D102" s="277" t="s">
        <v>778</v>
      </c>
      <c r="E102" s="589"/>
      <c r="F102" s="589"/>
      <c r="G102" s="589"/>
      <c r="H102" s="589"/>
      <c r="I102" s="589"/>
      <c r="J102" s="589"/>
      <c r="K102" s="589"/>
      <c r="L102" s="589"/>
      <c r="M102" s="589"/>
      <c r="N102" s="589"/>
      <c r="O102" s="589"/>
      <c r="P102" s="589"/>
    </row>
    <row r="103" spans="1:16" ht="91.5" x14ac:dyDescent="0.2">
      <c r="A103" s="477"/>
      <c r="B103" s="477"/>
      <c r="C103" s="503"/>
      <c r="D103" s="274" t="s">
        <v>779</v>
      </c>
      <c r="E103" s="469"/>
      <c r="F103" s="469"/>
      <c r="G103" s="469"/>
      <c r="H103" s="469"/>
      <c r="I103" s="469"/>
      <c r="J103" s="469"/>
      <c r="K103" s="469"/>
      <c r="L103" s="469"/>
      <c r="M103" s="469"/>
      <c r="N103" s="469"/>
      <c r="O103" s="469"/>
      <c r="P103" s="469"/>
    </row>
    <row r="104" spans="1:16" ht="183" x14ac:dyDescent="0.2">
      <c r="A104" s="394" t="s">
        <v>510</v>
      </c>
      <c r="B104" s="394" t="s">
        <v>512</v>
      </c>
      <c r="C104" s="394" t="s">
        <v>281</v>
      </c>
      <c r="D104" s="269" t="s">
        <v>514</v>
      </c>
      <c r="E104" s="311">
        <f>'d3'!E104-'d3-чистий'!E104</f>
        <v>-24500</v>
      </c>
      <c r="F104" s="311">
        <f>'d3'!F104-'d3-чистий'!F104</f>
        <v>-24500</v>
      </c>
      <c r="G104" s="311">
        <f>'d3'!G104-'d3-чистий'!G104</f>
        <v>18000</v>
      </c>
      <c r="H104" s="311">
        <f>'d3'!H104-'d3-чистий'!H104</f>
        <v>-5500</v>
      </c>
      <c r="I104" s="311">
        <f>'d3'!I104-'d3-чистий'!I104</f>
        <v>0</v>
      </c>
      <c r="J104" s="311">
        <f>'d3'!J104-'d3-чистий'!J104</f>
        <v>609043</v>
      </c>
      <c r="K104" s="311">
        <f>'d3'!K104-'d3-чистий'!K104</f>
        <v>609043</v>
      </c>
      <c r="L104" s="311">
        <f>'d3'!L104-'d3-чистий'!L104</f>
        <v>0</v>
      </c>
      <c r="M104" s="311">
        <f>'d3'!M104-'d3-чистий'!M104</f>
        <v>0</v>
      </c>
      <c r="N104" s="311">
        <f>'d3'!N104-'d3-чистий'!N104</f>
        <v>0</v>
      </c>
      <c r="O104" s="311">
        <f>'d3'!O104-'d3-чистий'!O104</f>
        <v>609043</v>
      </c>
      <c r="P104" s="311">
        <f>'d3'!P104-'d3-чистий'!P104</f>
        <v>584543</v>
      </c>
    </row>
    <row r="105" spans="1:16" ht="137.25" x14ac:dyDescent="0.2">
      <c r="A105" s="394" t="s">
        <v>511</v>
      </c>
      <c r="B105" s="394" t="s">
        <v>513</v>
      </c>
      <c r="C105" s="394" t="s">
        <v>281</v>
      </c>
      <c r="D105" s="269" t="s">
        <v>515</v>
      </c>
      <c r="E105" s="311">
        <f>'d3'!E105-'d3-чистий'!E105</f>
        <v>1007950</v>
      </c>
      <c r="F105" s="311">
        <f>'d3'!F105-'d3-чистий'!F105</f>
        <v>1007950</v>
      </c>
      <c r="G105" s="311">
        <f>'d3'!G105-'d3-чистий'!G105</f>
        <v>0</v>
      </c>
      <c r="H105" s="311">
        <f>'d3'!H105-'d3-чистий'!H105</f>
        <v>0</v>
      </c>
      <c r="I105" s="311">
        <f>'d3'!I105-'d3-чистий'!I105</f>
        <v>0</v>
      </c>
      <c r="J105" s="311">
        <f>'d3'!J105-'d3-чистий'!J105</f>
        <v>0</v>
      </c>
      <c r="K105" s="311">
        <f>'d3'!K105-'d3-чистий'!K105</f>
        <v>0</v>
      </c>
      <c r="L105" s="311">
        <f>'d3'!L105-'d3-чистий'!L105</f>
        <v>0</v>
      </c>
      <c r="M105" s="311">
        <f>'d3'!M105-'d3-чистий'!M105</f>
        <v>0</v>
      </c>
      <c r="N105" s="311">
        <f>'d3'!N105-'d3-чистий'!N105</f>
        <v>0</v>
      </c>
      <c r="O105" s="311">
        <f>'d3'!O105-'d3-чистий'!O105</f>
        <v>0</v>
      </c>
      <c r="P105" s="311">
        <f>'d3'!P105-'d3-чистий'!P105</f>
        <v>1007950</v>
      </c>
    </row>
    <row r="106" spans="1:16" ht="137.25" x14ac:dyDescent="0.2">
      <c r="A106" s="394" t="s">
        <v>593</v>
      </c>
      <c r="B106" s="394" t="s">
        <v>591</v>
      </c>
      <c r="C106" s="394" t="s">
        <v>529</v>
      </c>
      <c r="D106" s="269" t="s">
        <v>592</v>
      </c>
      <c r="E106" s="311">
        <f>'d3'!E106-'d3-чистий'!E106</f>
        <v>0</v>
      </c>
      <c r="F106" s="311">
        <f>'d3'!F106-'d3-чистий'!F106</f>
        <v>0</v>
      </c>
      <c r="G106" s="311">
        <f>'d3'!G106-'d3-чистий'!G106</f>
        <v>0</v>
      </c>
      <c r="H106" s="311">
        <f>'d3'!H106-'d3-чистий'!H106</f>
        <v>0</v>
      </c>
      <c r="I106" s="311">
        <f>'d3'!I106-'d3-чистий'!I106</f>
        <v>0</v>
      </c>
      <c r="J106" s="311">
        <f>'d3'!J106-'d3-чистий'!J106</f>
        <v>-50000</v>
      </c>
      <c r="K106" s="311">
        <f>'d3'!K106-'d3-чистий'!K106</f>
        <v>-50000</v>
      </c>
      <c r="L106" s="311">
        <f>'d3'!L106-'d3-чистий'!L106</f>
        <v>0</v>
      </c>
      <c r="M106" s="311">
        <f>'d3'!M106-'d3-чистий'!M106</f>
        <v>0</v>
      </c>
      <c r="N106" s="311">
        <f>'d3'!N106-'d3-чистий'!N106</f>
        <v>0</v>
      </c>
      <c r="O106" s="311">
        <f>'d3'!O106-'d3-чистий'!O106</f>
        <v>-50000</v>
      </c>
      <c r="P106" s="311">
        <f>'d3'!P106-'d3-чистий'!P106</f>
        <v>-50000</v>
      </c>
    </row>
    <row r="107" spans="1:16" ht="409.5" x14ac:dyDescent="0.2">
      <c r="A107" s="394" t="s">
        <v>960</v>
      </c>
      <c r="B107" s="394" t="s">
        <v>961</v>
      </c>
      <c r="C107" s="394" t="s">
        <v>529</v>
      </c>
      <c r="D107" s="269" t="s">
        <v>959</v>
      </c>
      <c r="E107" s="311">
        <f>'d3'!E107-'d3-чистий'!E107</f>
        <v>0</v>
      </c>
      <c r="F107" s="311">
        <f>'d3'!F107-'d3-чистий'!F107</f>
        <v>0</v>
      </c>
      <c r="G107" s="311">
        <f>'d3'!G107-'d3-чистий'!G107</f>
        <v>0</v>
      </c>
      <c r="H107" s="311">
        <f>'d3'!H107-'d3-чистий'!H107</f>
        <v>0</v>
      </c>
      <c r="I107" s="311">
        <f>'d3'!I107-'d3-чистий'!I107</f>
        <v>0</v>
      </c>
      <c r="J107" s="311">
        <f>'d3'!J107-'d3-чистий'!J107</f>
        <v>0</v>
      </c>
      <c r="K107" s="311">
        <f>'d3'!K107-'d3-чистий'!K107</f>
        <v>0</v>
      </c>
      <c r="L107" s="311">
        <f>'d3'!L107-'d3-чистий'!L107</f>
        <v>0</v>
      </c>
      <c r="M107" s="311">
        <f>'d3'!M107-'d3-чистий'!M107</f>
        <v>0</v>
      </c>
      <c r="N107" s="311">
        <f>'d3'!N107-'d3-чистий'!N107</f>
        <v>0</v>
      </c>
      <c r="O107" s="311">
        <f>'d3'!O107-'d3-чистий'!O107</f>
        <v>0</v>
      </c>
      <c r="P107" s="311">
        <f>'d3'!P107-'d3-чистий'!P107</f>
        <v>0</v>
      </c>
    </row>
    <row r="108" spans="1:16" ht="91.5" x14ac:dyDescent="0.2">
      <c r="A108" s="394" t="s">
        <v>686</v>
      </c>
      <c r="B108" s="394" t="s">
        <v>687</v>
      </c>
      <c r="C108" s="394" t="s">
        <v>444</v>
      </c>
      <c r="D108" s="269" t="s">
        <v>688</v>
      </c>
      <c r="E108" s="311">
        <f>'d3'!E108-'d3-чистий'!E108</f>
        <v>0</v>
      </c>
      <c r="F108" s="311">
        <f>'d3'!F108-'d3-чистий'!F108</f>
        <v>0</v>
      </c>
      <c r="G108" s="311">
        <f>'d3'!G108-'d3-чистий'!G108</f>
        <v>0</v>
      </c>
      <c r="H108" s="311">
        <f>'d3'!H108-'d3-чистий'!H108</f>
        <v>0</v>
      </c>
      <c r="I108" s="311">
        <f>'d3'!I108-'d3-чистий'!I108</f>
        <v>0</v>
      </c>
      <c r="J108" s="311">
        <f>'d3'!J108-'d3-чистий'!J108</f>
        <v>0</v>
      </c>
      <c r="K108" s="311">
        <f>'d3'!K108-'d3-чистий'!K108</f>
        <v>0</v>
      </c>
      <c r="L108" s="311">
        <f>'d3'!L108-'d3-чистий'!L108</f>
        <v>0</v>
      </c>
      <c r="M108" s="311">
        <f>'d3'!M108-'d3-чистий'!M108</f>
        <v>0</v>
      </c>
      <c r="N108" s="311">
        <f>'d3'!N108-'d3-чистий'!N108</f>
        <v>0</v>
      </c>
      <c r="O108" s="311">
        <f>'d3'!O108-'d3-чистий'!O108</f>
        <v>0</v>
      </c>
      <c r="P108" s="311">
        <f>'d3'!P108-'d3-чистий'!P108</f>
        <v>0</v>
      </c>
    </row>
    <row r="109" spans="1:16" ht="409.5" x14ac:dyDescent="0.2">
      <c r="A109" s="476" t="s">
        <v>723</v>
      </c>
      <c r="B109" s="476" t="s">
        <v>525</v>
      </c>
      <c r="C109" s="476" t="s">
        <v>250</v>
      </c>
      <c r="D109" s="267" t="s">
        <v>536</v>
      </c>
      <c r="E109" s="491">
        <f>'d3'!E109-'d3-чистий'!E109</f>
        <v>0</v>
      </c>
      <c r="F109" s="491">
        <f>'d3'!F109-'d3-чистий'!F109</f>
        <v>0</v>
      </c>
      <c r="G109" s="491">
        <f>'d3'!G109-'d3-чистий'!G109</f>
        <v>0</v>
      </c>
      <c r="H109" s="491">
        <f>'d3'!H109-'d3-чистий'!H109</f>
        <v>0</v>
      </c>
      <c r="I109" s="491">
        <f>'d3'!I109-'d3-чистий'!I109</f>
        <v>0</v>
      </c>
      <c r="J109" s="491">
        <f>'d3'!J109-'d3-чистий'!J109</f>
        <v>0</v>
      </c>
      <c r="K109" s="491">
        <f>'d3'!K109-'d3-чистий'!K109</f>
        <v>0</v>
      </c>
      <c r="L109" s="491">
        <f>'d3'!L109-'d3-чистий'!L109</f>
        <v>0</v>
      </c>
      <c r="M109" s="491">
        <f>'d3'!M109-'d3-чистий'!M109</f>
        <v>0</v>
      </c>
      <c r="N109" s="491">
        <f>'d3'!N109-'d3-чистий'!N109</f>
        <v>0</v>
      </c>
      <c r="O109" s="491">
        <f>'d3'!O109-'d3-чистий'!O109</f>
        <v>0</v>
      </c>
      <c r="P109" s="491">
        <f>'d3'!P109-'d3-чистий'!P109</f>
        <v>0</v>
      </c>
    </row>
    <row r="110" spans="1:16" ht="137.25" x14ac:dyDescent="0.2">
      <c r="A110" s="477"/>
      <c r="B110" s="477"/>
      <c r="C110" s="477"/>
      <c r="D110" s="268" t="s">
        <v>537</v>
      </c>
      <c r="E110" s="469"/>
      <c r="F110" s="469"/>
      <c r="G110" s="469"/>
      <c r="H110" s="469"/>
      <c r="I110" s="469"/>
      <c r="J110" s="469"/>
      <c r="K110" s="469"/>
      <c r="L110" s="469"/>
      <c r="M110" s="469"/>
      <c r="N110" s="469"/>
      <c r="O110" s="469"/>
      <c r="P110" s="469"/>
    </row>
    <row r="111" spans="1:16" ht="180" x14ac:dyDescent="0.2">
      <c r="A111" s="327">
        <v>1000000</v>
      </c>
      <c r="B111" s="327"/>
      <c r="C111" s="327"/>
      <c r="D111" s="328" t="s">
        <v>43</v>
      </c>
      <c r="E111" s="329">
        <f>E112</f>
        <v>0</v>
      </c>
      <c r="F111" s="329">
        <f t="shared" ref="F111:G111" si="21">F112</f>
        <v>0</v>
      </c>
      <c r="G111" s="329">
        <f t="shared" si="21"/>
        <v>0</v>
      </c>
      <c r="H111" s="329">
        <f>H112</f>
        <v>-15300</v>
      </c>
      <c r="I111" s="329">
        <f t="shared" ref="I111" si="22">I112</f>
        <v>0</v>
      </c>
      <c r="J111" s="329">
        <f>J112</f>
        <v>0</v>
      </c>
      <c r="K111" s="329">
        <f>K112</f>
        <v>0</v>
      </c>
      <c r="L111" s="329">
        <f>L112</f>
        <v>0</v>
      </c>
      <c r="M111" s="329">
        <f t="shared" ref="M111" si="23">M112</f>
        <v>0</v>
      </c>
      <c r="N111" s="329">
        <f>N112</f>
        <v>0</v>
      </c>
      <c r="O111" s="329">
        <f>O112</f>
        <v>0</v>
      </c>
      <c r="P111" s="329">
        <f t="shared" ref="P111" si="24">P112</f>
        <v>0</v>
      </c>
    </row>
    <row r="112" spans="1:16" ht="180" x14ac:dyDescent="0.2">
      <c r="A112" s="324">
        <v>1010000</v>
      </c>
      <c r="B112" s="324"/>
      <c r="C112" s="324"/>
      <c r="D112" s="325" t="s">
        <v>62</v>
      </c>
      <c r="E112" s="326">
        <f>F112</f>
        <v>0</v>
      </c>
      <c r="F112" s="326">
        <f>SUM(F113:F120)</f>
        <v>0</v>
      </c>
      <c r="G112" s="326">
        <f t="shared" ref="G112:I112" si="25">SUM(G113:G120)</f>
        <v>0</v>
      </c>
      <c r="H112" s="326">
        <f t="shared" si="25"/>
        <v>-15300</v>
      </c>
      <c r="I112" s="326">
        <f t="shared" si="25"/>
        <v>0</v>
      </c>
      <c r="J112" s="326">
        <f t="shared" ref="J112" si="26">L112+O112</f>
        <v>0</v>
      </c>
      <c r="K112" s="326">
        <f t="shared" ref="K112:O112" si="27">SUM(K113:K120)</f>
        <v>0</v>
      </c>
      <c r="L112" s="326">
        <f t="shared" si="27"/>
        <v>0</v>
      </c>
      <c r="M112" s="326">
        <f t="shared" si="27"/>
        <v>0</v>
      </c>
      <c r="N112" s="326">
        <f t="shared" si="27"/>
        <v>0</v>
      </c>
      <c r="O112" s="326">
        <f t="shared" si="27"/>
        <v>0</v>
      </c>
      <c r="P112" s="326">
        <f t="shared" ref="P112" si="28">E112+J112</f>
        <v>0</v>
      </c>
    </row>
    <row r="113" spans="1:16" ht="274.5" x14ac:dyDescent="0.2">
      <c r="A113" s="394" t="s">
        <v>34</v>
      </c>
      <c r="B113" s="394" t="s">
        <v>268</v>
      </c>
      <c r="C113" s="394" t="s">
        <v>269</v>
      </c>
      <c r="D113" s="394" t="s">
        <v>267</v>
      </c>
      <c r="E113" s="311">
        <f>'d3'!E113-'d3-чистий'!E113</f>
        <v>0</v>
      </c>
      <c r="F113" s="311">
        <f>'d3'!F113-'d3-чистий'!F113</f>
        <v>0</v>
      </c>
      <c r="G113" s="311">
        <f>'d3'!G113-'d3-чистий'!G113</f>
        <v>0</v>
      </c>
      <c r="H113" s="311">
        <f>'d3'!H113-'d3-чистий'!H113</f>
        <v>-1300</v>
      </c>
      <c r="I113" s="311">
        <f>'d3'!I113-'d3-чистий'!I113</f>
        <v>0</v>
      </c>
      <c r="J113" s="311">
        <f>'d3'!J113-'d3-чистий'!J113</f>
        <v>0</v>
      </c>
      <c r="K113" s="311">
        <f>'d3'!K113-'d3-чистий'!K113</f>
        <v>0</v>
      </c>
      <c r="L113" s="311">
        <f>'d3'!L113-'d3-чистий'!L113</f>
        <v>0</v>
      </c>
      <c r="M113" s="311">
        <f>'d3'!M113-'d3-чистий'!M113</f>
        <v>0</v>
      </c>
      <c r="N113" s="311">
        <f>'d3'!N113-'d3-чистий'!N113</f>
        <v>0</v>
      </c>
      <c r="O113" s="311">
        <f>'d3'!O113-'d3-чистий'!O113</f>
        <v>0</v>
      </c>
      <c r="P113" s="311">
        <f>'d3'!P113-'d3-чистий'!P113</f>
        <v>0</v>
      </c>
    </row>
    <row r="114" spans="1:16" ht="46.5" x14ac:dyDescent="0.2">
      <c r="A114" s="394" t="s">
        <v>251</v>
      </c>
      <c r="B114" s="394" t="s">
        <v>252</v>
      </c>
      <c r="C114" s="394" t="s">
        <v>255</v>
      </c>
      <c r="D114" s="394" t="s">
        <v>256</v>
      </c>
      <c r="E114" s="311">
        <f>'d3'!E114-'d3-чистий'!E114</f>
        <v>0</v>
      </c>
      <c r="F114" s="311">
        <f>'d3'!F114-'d3-чистий'!F114</f>
        <v>0</v>
      </c>
      <c r="G114" s="311">
        <f>'d3'!G114-'d3-чистий'!G114</f>
        <v>0</v>
      </c>
      <c r="H114" s="311">
        <f>'d3'!H114-'d3-чистий'!H114</f>
        <v>0</v>
      </c>
      <c r="I114" s="311">
        <f>'d3'!I114-'d3-чистий'!I114</f>
        <v>0</v>
      </c>
      <c r="J114" s="311">
        <f>'d3'!J114-'d3-чистий'!J114</f>
        <v>0</v>
      </c>
      <c r="K114" s="311">
        <f>'d3'!K114-'d3-чистий'!K114</f>
        <v>0</v>
      </c>
      <c r="L114" s="311">
        <f>'d3'!L114-'d3-чистий'!L114</f>
        <v>0</v>
      </c>
      <c r="M114" s="311">
        <f>'d3'!M114-'d3-чистий'!M114</f>
        <v>0</v>
      </c>
      <c r="N114" s="311">
        <f>'d3'!N114-'d3-чистий'!N114</f>
        <v>0</v>
      </c>
      <c r="O114" s="311">
        <f>'d3'!O114-'d3-чистий'!O114</f>
        <v>0</v>
      </c>
      <c r="P114" s="311">
        <f>'d3'!P114-'d3-чистий'!P114</f>
        <v>0</v>
      </c>
    </row>
    <row r="115" spans="1:16" ht="91.5" x14ac:dyDescent="0.2">
      <c r="A115" s="394" t="s">
        <v>257</v>
      </c>
      <c r="B115" s="394" t="s">
        <v>258</v>
      </c>
      <c r="C115" s="394" t="s">
        <v>259</v>
      </c>
      <c r="D115" s="394" t="s">
        <v>260</v>
      </c>
      <c r="E115" s="311">
        <f>'d3'!E115-'d3-чистий'!E115</f>
        <v>0</v>
      </c>
      <c r="F115" s="311">
        <f>'d3'!F115-'d3-чистий'!F115</f>
        <v>0</v>
      </c>
      <c r="G115" s="311">
        <f>'d3'!G115-'d3-чистий'!G115</f>
        <v>0</v>
      </c>
      <c r="H115" s="311">
        <f>'d3'!H115-'d3-чистий'!H115</f>
        <v>0</v>
      </c>
      <c r="I115" s="311">
        <f>'d3'!I115-'d3-чистий'!I115</f>
        <v>0</v>
      </c>
      <c r="J115" s="311">
        <f>'d3'!J115-'d3-чистий'!J115</f>
        <v>0</v>
      </c>
      <c r="K115" s="311">
        <f>'d3'!K115-'d3-чистий'!K115</f>
        <v>0</v>
      </c>
      <c r="L115" s="311">
        <f>'d3'!L115-'d3-чистий'!L115</f>
        <v>0</v>
      </c>
      <c r="M115" s="311">
        <f>'d3'!M115-'d3-чистий'!M115</f>
        <v>0</v>
      </c>
      <c r="N115" s="311">
        <f>'d3'!N115-'d3-чистий'!N115</f>
        <v>0</v>
      </c>
      <c r="O115" s="311">
        <f>'d3'!O115-'d3-чистий'!O115</f>
        <v>0</v>
      </c>
      <c r="P115" s="311">
        <f>'d3'!P115-'d3-чистий'!P115</f>
        <v>0</v>
      </c>
    </row>
    <row r="116" spans="1:16" ht="91.5" x14ac:dyDescent="0.2">
      <c r="A116" s="394" t="s">
        <v>261</v>
      </c>
      <c r="B116" s="394" t="s">
        <v>262</v>
      </c>
      <c r="C116" s="394" t="s">
        <v>259</v>
      </c>
      <c r="D116" s="394" t="s">
        <v>263</v>
      </c>
      <c r="E116" s="311">
        <f>'d3'!E116-'d3-чистий'!E116</f>
        <v>0</v>
      </c>
      <c r="F116" s="311">
        <f>'d3'!F116-'d3-чистий'!F116</f>
        <v>0</v>
      </c>
      <c r="G116" s="311">
        <f>'d3'!G116-'d3-чистий'!G116</f>
        <v>0</v>
      </c>
      <c r="H116" s="311">
        <f>'d3'!H116-'d3-чистий'!H116</f>
        <v>-6000</v>
      </c>
      <c r="I116" s="311">
        <f>'d3'!I116-'d3-чистий'!I116</f>
        <v>0</v>
      </c>
      <c r="J116" s="311">
        <f>'d3'!J116-'d3-чистий'!J116</f>
        <v>0</v>
      </c>
      <c r="K116" s="311">
        <f>'d3'!K116-'d3-чистий'!K116</f>
        <v>0</v>
      </c>
      <c r="L116" s="311">
        <f>'d3'!L116-'d3-чистий'!L116</f>
        <v>0</v>
      </c>
      <c r="M116" s="311">
        <f>'d3'!M116-'d3-чистий'!M116</f>
        <v>0</v>
      </c>
      <c r="N116" s="311">
        <f>'d3'!N116-'d3-чистий'!N116</f>
        <v>0</v>
      </c>
      <c r="O116" s="311">
        <f>'d3'!O116-'d3-чистий'!O116</f>
        <v>0</v>
      </c>
      <c r="P116" s="311">
        <f>'d3'!P116-'d3-чистий'!P116</f>
        <v>0</v>
      </c>
    </row>
    <row r="117" spans="1:16" ht="183" x14ac:dyDescent="0.2">
      <c r="A117" s="394" t="s">
        <v>264</v>
      </c>
      <c r="B117" s="394" t="s">
        <v>253</v>
      </c>
      <c r="C117" s="394" t="s">
        <v>265</v>
      </c>
      <c r="D117" s="394" t="s">
        <v>266</v>
      </c>
      <c r="E117" s="311">
        <f>'d3'!E117-'d3-чистий'!E117</f>
        <v>0</v>
      </c>
      <c r="F117" s="311">
        <f>'d3'!F117-'d3-чистий'!F117</f>
        <v>0</v>
      </c>
      <c r="G117" s="311">
        <f>'d3'!G117-'d3-чистий'!G117</f>
        <v>0</v>
      </c>
      <c r="H117" s="311">
        <f>'d3'!H117-'d3-чистий'!H117</f>
        <v>-8000</v>
      </c>
      <c r="I117" s="311">
        <f>'d3'!I117-'d3-чистий'!I117</f>
        <v>0</v>
      </c>
      <c r="J117" s="311">
        <f>'d3'!J117-'d3-чистий'!J117</f>
        <v>0</v>
      </c>
      <c r="K117" s="311">
        <f>'d3'!K117-'d3-чистий'!K117</f>
        <v>0</v>
      </c>
      <c r="L117" s="311">
        <f>'d3'!L117-'d3-чистий'!L117</f>
        <v>0</v>
      </c>
      <c r="M117" s="311">
        <f>'d3'!M117-'d3-чистий'!M117</f>
        <v>0</v>
      </c>
      <c r="N117" s="311">
        <f>'d3'!N117-'d3-чистий'!N117</f>
        <v>0</v>
      </c>
      <c r="O117" s="311">
        <f>'d3'!O117-'d3-чистий'!O117</f>
        <v>0</v>
      </c>
      <c r="P117" s="311">
        <f>'d3'!P117-'d3-чистий'!P117</f>
        <v>0</v>
      </c>
    </row>
    <row r="118" spans="1:16" ht="137.25" x14ac:dyDescent="0.2">
      <c r="A118" s="394" t="s">
        <v>517</v>
      </c>
      <c r="B118" s="394" t="s">
        <v>518</v>
      </c>
      <c r="C118" s="394" t="s">
        <v>270</v>
      </c>
      <c r="D118" s="394" t="s">
        <v>516</v>
      </c>
      <c r="E118" s="311">
        <f>'d3'!E118-'d3-чистий'!E118</f>
        <v>0</v>
      </c>
      <c r="F118" s="311">
        <f>'d3'!F118-'d3-чистий'!F118</f>
        <v>0</v>
      </c>
      <c r="G118" s="311">
        <f>'d3'!G118-'d3-чистий'!G118</f>
        <v>0</v>
      </c>
      <c r="H118" s="311">
        <f>'d3'!H118-'d3-чистий'!H118</f>
        <v>0</v>
      </c>
      <c r="I118" s="311">
        <f>'d3'!I118-'d3-чистий'!I118</f>
        <v>0</v>
      </c>
      <c r="J118" s="311">
        <f>'d3'!J118-'d3-чистий'!J118</f>
        <v>0</v>
      </c>
      <c r="K118" s="311">
        <f>'d3'!K118-'d3-чистий'!K118</f>
        <v>0</v>
      </c>
      <c r="L118" s="311">
        <f>'d3'!L118-'d3-чистий'!L118</f>
        <v>0</v>
      </c>
      <c r="M118" s="311">
        <f>'d3'!M118-'d3-чистий'!M118</f>
        <v>0</v>
      </c>
      <c r="N118" s="311">
        <f>'d3'!N118-'d3-чистий'!N118</f>
        <v>0</v>
      </c>
      <c r="O118" s="311">
        <f>'d3'!O118-'d3-чистий'!O118</f>
        <v>0</v>
      </c>
      <c r="P118" s="311">
        <f>'d3'!P118-'d3-чистий'!P118</f>
        <v>0</v>
      </c>
    </row>
    <row r="119" spans="1:16" ht="91.5" x14ac:dyDescent="0.2">
      <c r="A119" s="394" t="s">
        <v>519</v>
      </c>
      <c r="B119" s="394" t="s">
        <v>520</v>
      </c>
      <c r="C119" s="394" t="s">
        <v>270</v>
      </c>
      <c r="D119" s="394" t="s">
        <v>521</v>
      </c>
      <c r="E119" s="311">
        <f>'d3'!E119-'d3-чистий'!E119</f>
        <v>0</v>
      </c>
      <c r="F119" s="311">
        <f>'d3'!F119-'d3-чистий'!F119</f>
        <v>0</v>
      </c>
      <c r="G119" s="311">
        <f>'d3'!G119-'d3-чистий'!G119</f>
        <v>0</v>
      </c>
      <c r="H119" s="311">
        <f>'d3'!H119-'d3-чистий'!H119</f>
        <v>0</v>
      </c>
      <c r="I119" s="311">
        <f>'d3'!I119-'d3-чистий'!I119</f>
        <v>0</v>
      </c>
      <c r="J119" s="311">
        <f>'d3'!J119-'d3-чистий'!J119</f>
        <v>0</v>
      </c>
      <c r="K119" s="311">
        <f>'d3'!K119-'d3-чистий'!K119</f>
        <v>0</v>
      </c>
      <c r="L119" s="311">
        <f>'d3'!L119-'d3-чистий'!L119</f>
        <v>0</v>
      </c>
      <c r="M119" s="311">
        <f>'d3'!M119-'d3-чистий'!M119</f>
        <v>0</v>
      </c>
      <c r="N119" s="311">
        <f>'d3'!N119-'d3-чистий'!N119</f>
        <v>0</v>
      </c>
      <c r="O119" s="311">
        <f>'d3'!O119-'d3-чистий'!O119</f>
        <v>0</v>
      </c>
      <c r="P119" s="311">
        <f>'d3'!P119-'d3-чистий'!P119</f>
        <v>0</v>
      </c>
    </row>
    <row r="120" spans="1:16" ht="91.5" x14ac:dyDescent="0.2">
      <c r="A120" s="394" t="s">
        <v>828</v>
      </c>
      <c r="B120" s="394" t="s">
        <v>287</v>
      </c>
      <c r="C120" s="394" t="s">
        <v>250</v>
      </c>
      <c r="D120" s="394" t="s">
        <v>57</v>
      </c>
      <c r="E120" s="311">
        <f>'d3'!E120-'d3-чистий'!E120</f>
        <v>0</v>
      </c>
      <c r="F120" s="311">
        <f>'d3'!F120-'d3-чистий'!F120</f>
        <v>0</v>
      </c>
      <c r="G120" s="311">
        <f>'d3'!G120-'d3-чистий'!G120</f>
        <v>0</v>
      </c>
      <c r="H120" s="311">
        <f>'d3'!H120-'d3-чистий'!H120</f>
        <v>0</v>
      </c>
      <c r="I120" s="311">
        <f>'d3'!I120-'d3-чистий'!I120</f>
        <v>0</v>
      </c>
      <c r="J120" s="311">
        <f>'d3'!J120-'d3-чистий'!J120</f>
        <v>0</v>
      </c>
      <c r="K120" s="311">
        <f>'d3'!K120-'d3-чистий'!K120</f>
        <v>0</v>
      </c>
      <c r="L120" s="311">
        <f>'d3'!L120-'d3-чистий'!L120</f>
        <v>0</v>
      </c>
      <c r="M120" s="311">
        <f>'d3'!M120-'d3-чистий'!M120</f>
        <v>0</v>
      </c>
      <c r="N120" s="311">
        <f>'d3'!N120-'d3-чистий'!N120</f>
        <v>0</v>
      </c>
      <c r="O120" s="311">
        <f>'d3'!O120-'d3-чистий'!O120</f>
        <v>0</v>
      </c>
      <c r="P120" s="311">
        <f>'d3'!P120-'d3-чистий'!P120</f>
        <v>0</v>
      </c>
    </row>
    <row r="121" spans="1:16" ht="135" x14ac:dyDescent="0.2">
      <c r="A121" s="327" t="s">
        <v>40</v>
      </c>
      <c r="B121" s="327"/>
      <c r="C121" s="327"/>
      <c r="D121" s="328" t="s">
        <v>41</v>
      </c>
      <c r="E121" s="329">
        <f>E122</f>
        <v>-276329</v>
      </c>
      <c r="F121" s="329">
        <f t="shared" ref="F121:G121" si="29">F122</f>
        <v>-276329</v>
      </c>
      <c r="G121" s="329">
        <f t="shared" si="29"/>
        <v>92862</v>
      </c>
      <c r="H121" s="329">
        <f>H122</f>
        <v>-128306</v>
      </c>
      <c r="I121" s="329">
        <f t="shared" ref="I121" si="30">I122</f>
        <v>0</v>
      </c>
      <c r="J121" s="329">
        <f>J122</f>
        <v>138700</v>
      </c>
      <c r="K121" s="329">
        <f>K122</f>
        <v>138700</v>
      </c>
      <c r="L121" s="329">
        <f>L122</f>
        <v>0</v>
      </c>
      <c r="M121" s="329">
        <f t="shared" ref="M121" si="31">M122</f>
        <v>0</v>
      </c>
      <c r="N121" s="329">
        <f>N122</f>
        <v>-15000</v>
      </c>
      <c r="O121" s="329">
        <f>O122</f>
        <v>138700</v>
      </c>
      <c r="P121" s="329">
        <f t="shared" ref="P121" si="32">P122</f>
        <v>-137629</v>
      </c>
    </row>
    <row r="122" spans="1:16" ht="135" x14ac:dyDescent="0.2">
      <c r="A122" s="324" t="s">
        <v>39</v>
      </c>
      <c r="B122" s="324"/>
      <c r="C122" s="324"/>
      <c r="D122" s="325" t="s">
        <v>58</v>
      </c>
      <c r="E122" s="326">
        <f>SUM(E123:E136)</f>
        <v>-276329</v>
      </c>
      <c r="F122" s="326">
        <f>SUM(F123:F136)</f>
        <v>-276329</v>
      </c>
      <c r="G122" s="326">
        <f>SUM(G123:G136)</f>
        <v>92862</v>
      </c>
      <c r="H122" s="326">
        <f>SUM(H123:H136)</f>
        <v>-128306</v>
      </c>
      <c r="I122" s="326">
        <f>SUM(I123:I136)</f>
        <v>0</v>
      </c>
      <c r="J122" s="326">
        <f t="shared" ref="J122" si="33">L122+O122</f>
        <v>138700</v>
      </c>
      <c r="K122" s="326">
        <f>SUM(K123:K136)</f>
        <v>138700</v>
      </c>
      <c r="L122" s="326">
        <f>SUM(L123:L136)</f>
        <v>0</v>
      </c>
      <c r="M122" s="326">
        <f>SUM(M123:M136)</f>
        <v>0</v>
      </c>
      <c r="N122" s="326">
        <f>SUM(N123:N136)</f>
        <v>-15000</v>
      </c>
      <c r="O122" s="326">
        <f>SUM(O123:O136)</f>
        <v>138700</v>
      </c>
      <c r="P122" s="326">
        <f>E122+J122</f>
        <v>-137629</v>
      </c>
    </row>
    <row r="123" spans="1:16" ht="137.25" x14ac:dyDescent="0.2">
      <c r="A123" s="394" t="s">
        <v>271</v>
      </c>
      <c r="B123" s="394" t="s">
        <v>272</v>
      </c>
      <c r="C123" s="394" t="s">
        <v>273</v>
      </c>
      <c r="D123" s="394" t="s">
        <v>274</v>
      </c>
      <c r="E123" s="311">
        <f>'d3'!E123-'d3-чистий'!E123</f>
        <v>0</v>
      </c>
      <c r="F123" s="311">
        <f>'d3'!F123-'d3-чистий'!F123</f>
        <v>0</v>
      </c>
      <c r="G123" s="311">
        <f>'d3'!G123-'d3-чистий'!G123</f>
        <v>0</v>
      </c>
      <c r="H123" s="311">
        <f>'d3'!H123-'d3-чистий'!H123</f>
        <v>0</v>
      </c>
      <c r="I123" s="311">
        <f>'d3'!I123-'d3-чистий'!I123</f>
        <v>0</v>
      </c>
      <c r="J123" s="311">
        <f>'d3'!J123-'d3-чистий'!J123</f>
        <v>35200</v>
      </c>
      <c r="K123" s="311">
        <f>'d3'!K123-'d3-чистий'!K123</f>
        <v>35200</v>
      </c>
      <c r="L123" s="311">
        <f>'d3'!L123-'d3-чистий'!L123</f>
        <v>0</v>
      </c>
      <c r="M123" s="311">
        <f>'d3'!M123-'d3-чистий'!M123</f>
        <v>0</v>
      </c>
      <c r="N123" s="311">
        <f>'d3'!N123-'d3-чистий'!N123</f>
        <v>0</v>
      </c>
      <c r="O123" s="311">
        <f>'d3'!O123-'d3-чистий'!O123</f>
        <v>35200</v>
      </c>
      <c r="P123" s="311">
        <f>'d3'!P123-'d3-чистий'!P123</f>
        <v>35200</v>
      </c>
    </row>
    <row r="124" spans="1:16" ht="228.75" x14ac:dyDescent="0.2">
      <c r="A124" s="394" t="s">
        <v>72</v>
      </c>
      <c r="B124" s="394" t="s">
        <v>254</v>
      </c>
      <c r="C124" s="394" t="s">
        <v>273</v>
      </c>
      <c r="D124" s="394" t="s">
        <v>22</v>
      </c>
      <c r="E124" s="311">
        <f>'d3'!E124-'d3-чистий'!E124</f>
        <v>260000</v>
      </c>
      <c r="F124" s="311">
        <f>'d3'!F124-'d3-чистий'!F124</f>
        <v>260000</v>
      </c>
      <c r="G124" s="311">
        <f>'d3'!G124-'d3-чистий'!G124</f>
        <v>0</v>
      </c>
      <c r="H124" s="311">
        <f>'d3'!H124-'d3-чистий'!H124</f>
        <v>0</v>
      </c>
      <c r="I124" s="311">
        <f>'d3'!I124-'d3-чистий'!I124</f>
        <v>0</v>
      </c>
      <c r="J124" s="311">
        <f>'d3'!J124-'d3-чистий'!J124</f>
        <v>0</v>
      </c>
      <c r="K124" s="311">
        <f>'d3'!K124-'d3-чистий'!K124</f>
        <v>0</v>
      </c>
      <c r="L124" s="311">
        <f>'d3'!L124-'d3-чистий'!L124</f>
        <v>0</v>
      </c>
      <c r="M124" s="311">
        <f>'d3'!M124-'d3-чистий'!M124</f>
        <v>0</v>
      </c>
      <c r="N124" s="311">
        <f>'d3'!N124-'d3-чистий'!N124</f>
        <v>0</v>
      </c>
      <c r="O124" s="311">
        <f>'d3'!O124-'d3-чистий'!O124</f>
        <v>0</v>
      </c>
      <c r="P124" s="311">
        <f>'d3'!P124-'d3-чистий'!P124</f>
        <v>260000</v>
      </c>
    </row>
    <row r="125" spans="1:16" ht="91.5" x14ac:dyDescent="0.2">
      <c r="A125" s="394" t="s">
        <v>278</v>
      </c>
      <c r="B125" s="394" t="s">
        <v>279</v>
      </c>
      <c r="C125" s="394" t="s">
        <v>273</v>
      </c>
      <c r="D125" s="394" t="s">
        <v>23</v>
      </c>
      <c r="E125" s="311">
        <f>'d3'!E125-'d3-чистий'!E125</f>
        <v>-79300</v>
      </c>
      <c r="F125" s="311">
        <f>'d3'!F125-'d3-чистий'!F125</f>
        <v>-79300</v>
      </c>
      <c r="G125" s="311">
        <f>'d3'!G125-'d3-чистий'!G125</f>
        <v>0</v>
      </c>
      <c r="H125" s="311">
        <f>'d3'!H125-'d3-чистий'!H125</f>
        <v>-78900</v>
      </c>
      <c r="I125" s="311">
        <f>'d3'!I125-'d3-чистий'!I125</f>
        <v>0</v>
      </c>
      <c r="J125" s="311">
        <f>'d3'!J125-'d3-чистий'!J125</f>
        <v>0</v>
      </c>
      <c r="K125" s="311">
        <f>'d3'!K125-'d3-чистий'!K125</f>
        <v>0</v>
      </c>
      <c r="L125" s="311">
        <f>'d3'!L125-'d3-чистий'!L125</f>
        <v>0</v>
      </c>
      <c r="M125" s="311">
        <f>'d3'!M125-'d3-чистий'!M125</f>
        <v>0</v>
      </c>
      <c r="N125" s="311">
        <f>'d3'!N125-'d3-чистий'!N125</f>
        <v>0</v>
      </c>
      <c r="O125" s="311">
        <f>'d3'!O125-'d3-чистий'!O125</f>
        <v>0</v>
      </c>
      <c r="P125" s="311">
        <f>'d3'!P125-'d3-чистий'!P125</f>
        <v>-79300</v>
      </c>
    </row>
    <row r="126" spans="1:16" ht="91.5" x14ac:dyDescent="0.2">
      <c r="A126" s="394" t="s">
        <v>560</v>
      </c>
      <c r="B126" s="394" t="s">
        <v>561</v>
      </c>
      <c r="C126" s="394" t="s">
        <v>273</v>
      </c>
      <c r="D126" s="394" t="s">
        <v>562</v>
      </c>
      <c r="E126" s="311">
        <f>'d3'!E126-'d3-чистий'!E126</f>
        <v>-500000</v>
      </c>
      <c r="F126" s="311">
        <f>'d3'!F126-'d3-чистий'!F126</f>
        <v>-500000</v>
      </c>
      <c r="G126" s="311">
        <f>'d3'!G126-'d3-чистий'!G126</f>
        <v>0</v>
      </c>
      <c r="H126" s="311">
        <f>'d3'!H126-'d3-чистий'!H126</f>
        <v>-21544</v>
      </c>
      <c r="I126" s="311">
        <f>'d3'!I126-'d3-чистий'!I126</f>
        <v>0</v>
      </c>
      <c r="J126" s="311">
        <f>'d3'!J126-'d3-чистий'!J126</f>
        <v>0</v>
      </c>
      <c r="K126" s="311">
        <f>'d3'!K126-'d3-чистий'!K126</f>
        <v>0</v>
      </c>
      <c r="L126" s="311">
        <f>'d3'!L126-'d3-чистий'!L126</f>
        <v>0</v>
      </c>
      <c r="M126" s="311">
        <f>'d3'!M126-'d3-чистий'!M126</f>
        <v>0</v>
      </c>
      <c r="N126" s="311">
        <f>'d3'!N126-'d3-чистий'!N126</f>
        <v>0</v>
      </c>
      <c r="O126" s="311">
        <f>'d3'!O126-'d3-чистий'!O126</f>
        <v>0</v>
      </c>
      <c r="P126" s="311">
        <f>'d3'!P126-'d3-чистий'!P126</f>
        <v>-500000</v>
      </c>
    </row>
    <row r="127" spans="1:16" ht="137.25" x14ac:dyDescent="0.2">
      <c r="A127" s="394" t="s">
        <v>73</v>
      </c>
      <c r="B127" s="394" t="s">
        <v>275</v>
      </c>
      <c r="C127" s="394" t="s">
        <v>285</v>
      </c>
      <c r="D127" s="394" t="s">
        <v>74</v>
      </c>
      <c r="E127" s="311">
        <f>'d3'!E127-'d3-чистий'!E127</f>
        <v>-20000</v>
      </c>
      <c r="F127" s="311">
        <f>'d3'!F127-'d3-чистий'!F127</f>
        <v>-20000</v>
      </c>
      <c r="G127" s="311">
        <f>'d3'!G127-'d3-чистий'!G127</f>
        <v>0</v>
      </c>
      <c r="H127" s="311">
        <f>'d3'!H127-'d3-чистий'!H127</f>
        <v>0</v>
      </c>
      <c r="I127" s="311">
        <f>'d3'!I127-'d3-чистий'!I127</f>
        <v>0</v>
      </c>
      <c r="J127" s="311">
        <f>'d3'!J127-'d3-чистий'!J127</f>
        <v>0</v>
      </c>
      <c r="K127" s="311">
        <f>'d3'!K127-'d3-чистий'!K127</f>
        <v>0</v>
      </c>
      <c r="L127" s="311">
        <f>'d3'!L127-'d3-чистий'!L127</f>
        <v>0</v>
      </c>
      <c r="M127" s="311">
        <f>'d3'!M127-'d3-чистий'!M127</f>
        <v>0</v>
      </c>
      <c r="N127" s="311">
        <f>'d3'!N127-'d3-чистий'!N127</f>
        <v>0</v>
      </c>
      <c r="O127" s="311">
        <f>'d3'!O127-'d3-чистий'!O127</f>
        <v>0</v>
      </c>
      <c r="P127" s="311">
        <f>'d3'!P127-'d3-чистий'!P127</f>
        <v>-20000</v>
      </c>
    </row>
    <row r="128" spans="1:16" ht="137.25" x14ac:dyDescent="0.2">
      <c r="A128" s="394" t="s">
        <v>75</v>
      </c>
      <c r="B128" s="394" t="s">
        <v>276</v>
      </c>
      <c r="C128" s="394" t="s">
        <v>285</v>
      </c>
      <c r="D128" s="394" t="s">
        <v>6</v>
      </c>
      <c r="E128" s="311">
        <f>'d3'!E128-'d3-чистий'!E128</f>
        <v>26500</v>
      </c>
      <c r="F128" s="311">
        <f>'d3'!F128-'d3-чистий'!F128</f>
        <v>26500</v>
      </c>
      <c r="G128" s="311">
        <f>'d3'!G128-'d3-чистий'!G128</f>
        <v>0</v>
      </c>
      <c r="H128" s="311">
        <f>'d3'!H128-'d3-чистий'!H128</f>
        <v>0</v>
      </c>
      <c r="I128" s="311">
        <f>'d3'!I128-'d3-чистий'!I128</f>
        <v>0</v>
      </c>
      <c r="J128" s="311">
        <f>'d3'!J128-'d3-чистий'!J128</f>
        <v>0</v>
      </c>
      <c r="K128" s="311">
        <f>'d3'!K128-'d3-чистий'!K128</f>
        <v>0</v>
      </c>
      <c r="L128" s="311">
        <f>'d3'!L128-'d3-чистий'!L128</f>
        <v>0</v>
      </c>
      <c r="M128" s="311">
        <f>'d3'!M128-'d3-чистий'!M128</f>
        <v>0</v>
      </c>
      <c r="N128" s="311">
        <f>'d3'!N128-'d3-чистий'!N128</f>
        <v>0</v>
      </c>
      <c r="O128" s="311">
        <f>'d3'!O128-'d3-чистий'!O128</f>
        <v>0</v>
      </c>
      <c r="P128" s="311">
        <f>'d3'!P128-'d3-чистий'!P128</f>
        <v>26500</v>
      </c>
    </row>
    <row r="129" spans="1:16" ht="183" x14ac:dyDescent="0.2">
      <c r="A129" s="394" t="s">
        <v>76</v>
      </c>
      <c r="B129" s="394" t="s">
        <v>277</v>
      </c>
      <c r="C129" s="394" t="s">
        <v>285</v>
      </c>
      <c r="D129" s="394" t="s">
        <v>557</v>
      </c>
      <c r="E129" s="311">
        <f>'d3'!E129-'d3-чистий'!E129</f>
        <v>-49000</v>
      </c>
      <c r="F129" s="311">
        <f>'d3'!F129-'d3-чистий'!F129</f>
        <v>-49000</v>
      </c>
      <c r="G129" s="311">
        <f>'d3'!G129-'d3-чистий'!G129</f>
        <v>0</v>
      </c>
      <c r="H129" s="311">
        <f>'d3'!H129-'d3-чистий'!H129</f>
        <v>0</v>
      </c>
      <c r="I129" s="311">
        <f>'d3'!I129-'d3-чистий'!I129</f>
        <v>0</v>
      </c>
      <c r="J129" s="311">
        <f>'d3'!J129-'d3-чистий'!J129</f>
        <v>0</v>
      </c>
      <c r="K129" s="311">
        <f>'d3'!K129-'d3-чистий'!K129</f>
        <v>0</v>
      </c>
      <c r="L129" s="311">
        <f>'d3'!L129-'d3-чистий'!L129</f>
        <v>0</v>
      </c>
      <c r="M129" s="311">
        <f>'d3'!M129-'d3-чистий'!M129</f>
        <v>0</v>
      </c>
      <c r="N129" s="311">
        <f>'d3'!N129-'d3-чистий'!N129</f>
        <v>0</v>
      </c>
      <c r="O129" s="311">
        <f>'d3'!O129-'d3-чистий'!O129</f>
        <v>0</v>
      </c>
      <c r="P129" s="311">
        <f>'d3'!P129-'d3-чистий'!P129</f>
        <v>-49000</v>
      </c>
    </row>
    <row r="130" spans="1:16" ht="183" x14ac:dyDescent="0.2">
      <c r="A130" s="394" t="s">
        <v>49</v>
      </c>
      <c r="B130" s="394" t="s">
        <v>282</v>
      </c>
      <c r="C130" s="394" t="s">
        <v>285</v>
      </c>
      <c r="D130" s="394" t="s">
        <v>77</v>
      </c>
      <c r="E130" s="311">
        <f>'d3'!E130-'d3-чистий'!E130</f>
        <v>0</v>
      </c>
      <c r="F130" s="311">
        <f>'d3'!F130-'d3-чистий'!F130</f>
        <v>0</v>
      </c>
      <c r="G130" s="311">
        <f>'d3'!G130-'d3-чистий'!G130</f>
        <v>67862</v>
      </c>
      <c r="H130" s="311">
        <f>'d3'!H130-'d3-чистий'!H130</f>
        <v>-27862</v>
      </c>
      <c r="I130" s="311">
        <f>'d3'!I130-'d3-чистий'!I130</f>
        <v>0</v>
      </c>
      <c r="J130" s="311">
        <f>'d3'!J130-'d3-чистий'!J130</f>
        <v>46000</v>
      </c>
      <c r="K130" s="311">
        <f>'d3'!K130-'d3-чистий'!K130</f>
        <v>46000</v>
      </c>
      <c r="L130" s="311">
        <f>'d3'!L130-'d3-чистий'!L130</f>
        <v>0</v>
      </c>
      <c r="M130" s="311">
        <f>'d3'!M130-'d3-чистий'!M130</f>
        <v>0</v>
      </c>
      <c r="N130" s="311">
        <f>'d3'!N130-'d3-чистий'!N130</f>
        <v>-15000</v>
      </c>
      <c r="O130" s="311">
        <f>'d3'!O130-'d3-чистий'!O130</f>
        <v>46000</v>
      </c>
      <c r="P130" s="311">
        <f>'d3'!P130-'d3-чистий'!P130</f>
        <v>46000</v>
      </c>
    </row>
    <row r="131" spans="1:16" ht="183" x14ac:dyDescent="0.2">
      <c r="A131" s="394" t="s">
        <v>50</v>
      </c>
      <c r="B131" s="394" t="s">
        <v>283</v>
      </c>
      <c r="C131" s="394" t="s">
        <v>285</v>
      </c>
      <c r="D131" s="394" t="s">
        <v>78</v>
      </c>
      <c r="E131" s="311">
        <f>'d3'!E131-'d3-чистий'!E131</f>
        <v>64971</v>
      </c>
      <c r="F131" s="311">
        <f>'d3'!F131-'d3-чистий'!F131</f>
        <v>64971</v>
      </c>
      <c r="G131" s="311">
        <f>'d3'!G131-'d3-чистий'!G131</f>
        <v>0</v>
      </c>
      <c r="H131" s="311">
        <f>'d3'!H131-'d3-чистий'!H131</f>
        <v>0</v>
      </c>
      <c r="I131" s="311">
        <f>'d3'!I131-'d3-чистий'!I131</f>
        <v>0</v>
      </c>
      <c r="J131" s="311">
        <f>'d3'!J131-'d3-чистий'!J131</f>
        <v>0</v>
      </c>
      <c r="K131" s="311">
        <f>'d3'!K131-'d3-чистий'!K131</f>
        <v>0</v>
      </c>
      <c r="L131" s="311">
        <f>'d3'!L131-'d3-чистий'!L131</f>
        <v>0</v>
      </c>
      <c r="M131" s="311">
        <f>'d3'!M131-'d3-чистий'!M131</f>
        <v>0</v>
      </c>
      <c r="N131" s="311">
        <f>'d3'!N131-'d3-чистий'!N131</f>
        <v>0</v>
      </c>
      <c r="O131" s="311">
        <f>'d3'!O131-'d3-чистий'!O131</f>
        <v>0</v>
      </c>
      <c r="P131" s="311">
        <f>'d3'!P131-'d3-чистий'!P131</f>
        <v>64971</v>
      </c>
    </row>
    <row r="132" spans="1:16" ht="274.5" x14ac:dyDescent="0.2">
      <c r="A132" s="279" t="s">
        <v>51</v>
      </c>
      <c r="B132" s="279" t="s">
        <v>284</v>
      </c>
      <c r="C132" s="279" t="s">
        <v>285</v>
      </c>
      <c r="D132" s="394" t="s">
        <v>52</v>
      </c>
      <c r="E132" s="311">
        <f>'d3'!E132-'d3-чистий'!E132</f>
        <v>-40000</v>
      </c>
      <c r="F132" s="311">
        <f>'d3'!F132-'d3-чистий'!F132</f>
        <v>-40000</v>
      </c>
      <c r="G132" s="311">
        <f>'d3'!G132-'d3-чистий'!G132</f>
        <v>0</v>
      </c>
      <c r="H132" s="311">
        <f>'d3'!H132-'d3-чистий'!H132</f>
        <v>0</v>
      </c>
      <c r="I132" s="311">
        <f>'d3'!I132-'d3-чистий'!I132</f>
        <v>0</v>
      </c>
      <c r="J132" s="311">
        <f>'d3'!J132-'d3-чистий'!J132</f>
        <v>0</v>
      </c>
      <c r="K132" s="311">
        <f>'d3'!K132-'d3-чистий'!K132</f>
        <v>0</v>
      </c>
      <c r="L132" s="311">
        <f>'d3'!L132-'d3-чистий'!L132</f>
        <v>0</v>
      </c>
      <c r="M132" s="311">
        <f>'d3'!M132-'d3-чистий'!M132</f>
        <v>0</v>
      </c>
      <c r="N132" s="311">
        <f>'d3'!N132-'d3-чистий'!N132</f>
        <v>0</v>
      </c>
      <c r="O132" s="311">
        <f>'d3'!O132-'d3-чистий'!O132</f>
        <v>0</v>
      </c>
      <c r="P132" s="311">
        <f>'d3'!P132-'d3-чистий'!P132</f>
        <v>-40000</v>
      </c>
    </row>
    <row r="133" spans="1:16" ht="183" x14ac:dyDescent="0.2">
      <c r="A133" s="394" t="s">
        <v>952</v>
      </c>
      <c r="B133" s="394" t="s">
        <v>953</v>
      </c>
      <c r="C133" s="394" t="s">
        <v>285</v>
      </c>
      <c r="D133" s="394" t="s">
        <v>954</v>
      </c>
      <c r="E133" s="311">
        <f>'d3'!E133-'d3-чистий'!E133</f>
        <v>30000</v>
      </c>
      <c r="F133" s="311">
        <f>'d3'!F133-'d3-чистий'!F133</f>
        <v>30000</v>
      </c>
      <c r="G133" s="311">
        <f>'d3'!G133-'d3-чистий'!G133</f>
        <v>0</v>
      </c>
      <c r="H133" s="311">
        <f>'d3'!H133-'d3-чистий'!H133</f>
        <v>0</v>
      </c>
      <c r="I133" s="311">
        <f>'d3'!I133-'d3-чистий'!I133</f>
        <v>0</v>
      </c>
      <c r="J133" s="311">
        <f>'d3'!J133-'d3-чистий'!J133</f>
        <v>0</v>
      </c>
      <c r="K133" s="311">
        <f>'d3'!K133-'d3-чистий'!K133</f>
        <v>0</v>
      </c>
      <c r="L133" s="311">
        <f>'d3'!L133-'d3-чистий'!L133</f>
        <v>0</v>
      </c>
      <c r="M133" s="311">
        <f>'d3'!M133-'d3-чистий'!M133</f>
        <v>0</v>
      </c>
      <c r="N133" s="311">
        <f>'d3'!N133-'d3-чистий'!N133</f>
        <v>0</v>
      </c>
      <c r="O133" s="311">
        <f>'d3'!O133-'d3-чистий'!O133</f>
        <v>0</v>
      </c>
      <c r="P133" s="311">
        <f>'d3'!P133-'d3-чистий'!P133</f>
        <v>30000</v>
      </c>
    </row>
    <row r="134" spans="1:16" ht="91.5" x14ac:dyDescent="0.2">
      <c r="A134" s="279" t="s">
        <v>53</v>
      </c>
      <c r="B134" s="279" t="s">
        <v>286</v>
      </c>
      <c r="C134" s="279" t="s">
        <v>285</v>
      </c>
      <c r="D134" s="394" t="s">
        <v>54</v>
      </c>
      <c r="E134" s="311">
        <f>'d3'!E134-'d3-чистий'!E134</f>
        <v>30500</v>
      </c>
      <c r="F134" s="311">
        <f>'d3'!F134-'d3-чистий'!F134</f>
        <v>30500</v>
      </c>
      <c r="G134" s="311">
        <f>'d3'!G134-'d3-чистий'!G134</f>
        <v>25000</v>
      </c>
      <c r="H134" s="311">
        <f>'d3'!H134-'d3-чистий'!H134</f>
        <v>0</v>
      </c>
      <c r="I134" s="311">
        <f>'d3'!I134-'d3-чистий'!I134</f>
        <v>0</v>
      </c>
      <c r="J134" s="311">
        <f>'d3'!J134-'d3-чистий'!J134</f>
        <v>57500</v>
      </c>
      <c r="K134" s="311">
        <f>'d3'!K134-'d3-чистий'!K134</f>
        <v>57500</v>
      </c>
      <c r="L134" s="311">
        <f>'d3'!L134-'d3-чистий'!L134</f>
        <v>0</v>
      </c>
      <c r="M134" s="311">
        <f>'d3'!M134-'d3-чистий'!M134</f>
        <v>0</v>
      </c>
      <c r="N134" s="311">
        <f>'d3'!N134-'d3-чистий'!N134</f>
        <v>0</v>
      </c>
      <c r="O134" s="311">
        <f>'d3'!O134-'d3-чистий'!O134</f>
        <v>57500</v>
      </c>
      <c r="P134" s="311">
        <f>'d3'!P134-'d3-чистий'!P134</f>
        <v>88000</v>
      </c>
    </row>
    <row r="135" spans="1:16" ht="274.5" x14ac:dyDescent="0.2">
      <c r="A135" s="279" t="s">
        <v>531</v>
      </c>
      <c r="B135" s="279" t="s">
        <v>530</v>
      </c>
      <c r="C135" s="279" t="s">
        <v>529</v>
      </c>
      <c r="D135" s="394" t="s">
        <v>528</v>
      </c>
      <c r="E135" s="311">
        <f>'d3'!E135-'d3-чистий'!E135</f>
        <v>0</v>
      </c>
      <c r="F135" s="311">
        <f>'d3'!F135-'d3-чистий'!F135</f>
        <v>0</v>
      </c>
      <c r="G135" s="311">
        <f>'d3'!G135-'d3-чистий'!G135</f>
        <v>0</v>
      </c>
      <c r="H135" s="311">
        <f>'d3'!H135-'d3-чистий'!H135</f>
        <v>0</v>
      </c>
      <c r="I135" s="311">
        <f>'d3'!I135-'d3-чистий'!I135</f>
        <v>0</v>
      </c>
      <c r="J135" s="311">
        <f>'d3'!J135-'d3-чистий'!J135</f>
        <v>0</v>
      </c>
      <c r="K135" s="311">
        <f>'d3'!K135-'d3-чистий'!K135</f>
        <v>0</v>
      </c>
      <c r="L135" s="311">
        <f>'d3'!L135-'d3-чистий'!L135</f>
        <v>0</v>
      </c>
      <c r="M135" s="311">
        <f>'d3'!M135-'d3-чистий'!M135</f>
        <v>0</v>
      </c>
      <c r="N135" s="311">
        <f>'d3'!N135-'d3-чистий'!N135</f>
        <v>0</v>
      </c>
      <c r="O135" s="311">
        <f>'d3'!O135-'d3-чистий'!O135</f>
        <v>0</v>
      </c>
      <c r="P135" s="311">
        <f>'d3'!P135-'d3-чистий'!P135</f>
        <v>0</v>
      </c>
    </row>
    <row r="136" spans="1:16" ht="91.5" x14ac:dyDescent="0.2">
      <c r="A136" s="394" t="s">
        <v>876</v>
      </c>
      <c r="B136" s="394" t="s">
        <v>287</v>
      </c>
      <c r="C136" s="394" t="s">
        <v>250</v>
      </c>
      <c r="D136" s="394" t="s">
        <v>57</v>
      </c>
      <c r="E136" s="311">
        <f>'d3'!E136-'d3-чистий'!E136</f>
        <v>0</v>
      </c>
      <c r="F136" s="311">
        <f>'d3'!F136-'d3-чистий'!F136</f>
        <v>0</v>
      </c>
      <c r="G136" s="311">
        <f>'d3'!G136-'d3-чистий'!G136</f>
        <v>0</v>
      </c>
      <c r="H136" s="311">
        <f>'d3'!H136-'d3-чистий'!H136</f>
        <v>0</v>
      </c>
      <c r="I136" s="311">
        <f>'d3'!I136-'d3-чистий'!I136</f>
        <v>0</v>
      </c>
      <c r="J136" s="311">
        <f>'d3'!J136-'d3-чистий'!J136</f>
        <v>0</v>
      </c>
      <c r="K136" s="311">
        <f>'d3'!K136-'d3-чистий'!K136</f>
        <v>0</v>
      </c>
      <c r="L136" s="311">
        <f>'d3'!L136-'d3-чистий'!L136</f>
        <v>0</v>
      </c>
      <c r="M136" s="311">
        <f>'d3'!M136-'d3-чистий'!M136</f>
        <v>0</v>
      </c>
      <c r="N136" s="311">
        <f>'d3'!N136-'d3-чистий'!N136</f>
        <v>0</v>
      </c>
      <c r="O136" s="311">
        <f>'d3'!O136-'d3-чистий'!O136</f>
        <v>0</v>
      </c>
      <c r="P136" s="311">
        <f>'d3'!P136-'d3-чистий'!P136</f>
        <v>0</v>
      </c>
    </row>
    <row r="137" spans="1:16" ht="180" x14ac:dyDescent="0.2">
      <c r="A137" s="327" t="s">
        <v>238</v>
      </c>
      <c r="B137" s="327"/>
      <c r="C137" s="327"/>
      <c r="D137" s="328" t="s">
        <v>42</v>
      </c>
      <c r="E137" s="329">
        <f>E138</f>
        <v>4056280</v>
      </c>
      <c r="F137" s="329">
        <f t="shared" ref="F137:G137" si="34">F138</f>
        <v>4056280</v>
      </c>
      <c r="G137" s="329">
        <f t="shared" si="34"/>
        <v>260722</v>
      </c>
      <c r="H137" s="329">
        <f>H138</f>
        <v>0</v>
      </c>
      <c r="I137" s="329">
        <f t="shared" ref="I137" si="35">I138</f>
        <v>0</v>
      </c>
      <c r="J137" s="329">
        <f>J138</f>
        <v>-5110375</v>
      </c>
      <c r="K137" s="329">
        <f>K138</f>
        <v>-5110375</v>
      </c>
      <c r="L137" s="329">
        <f>L138</f>
        <v>0</v>
      </c>
      <c r="M137" s="329">
        <f t="shared" ref="M137" si="36">M138</f>
        <v>0</v>
      </c>
      <c r="N137" s="329">
        <f>N138</f>
        <v>0</v>
      </c>
      <c r="O137" s="329">
        <f>O138</f>
        <v>-5110375</v>
      </c>
      <c r="P137" s="329">
        <f>P138</f>
        <v>-1054095</v>
      </c>
    </row>
    <row r="138" spans="1:16" ht="180" x14ac:dyDescent="0.2">
      <c r="A138" s="324" t="s">
        <v>239</v>
      </c>
      <c r="B138" s="324"/>
      <c r="C138" s="324"/>
      <c r="D138" s="325" t="s">
        <v>63</v>
      </c>
      <c r="E138" s="326">
        <f>SUM(E139:E158)</f>
        <v>4056280</v>
      </c>
      <c r="F138" s="326">
        <f>SUM(F139:F158)</f>
        <v>4056280</v>
      </c>
      <c r="G138" s="326">
        <f>SUM(G139:G158)</f>
        <v>260722</v>
      </c>
      <c r="H138" s="326">
        <f>SUM(H139:H158)</f>
        <v>0</v>
      </c>
      <c r="I138" s="326">
        <f>SUM(I139:I158)</f>
        <v>0</v>
      </c>
      <c r="J138" s="326">
        <f t="shared" ref="J138" si="37">L138+O138</f>
        <v>-5110375</v>
      </c>
      <c r="K138" s="326">
        <f>SUM(K139:K158)</f>
        <v>-5110375</v>
      </c>
      <c r="L138" s="326">
        <f>SUM(L139:L158)</f>
        <v>0</v>
      </c>
      <c r="M138" s="326">
        <f>SUM(M139:M158)</f>
        <v>0</v>
      </c>
      <c r="N138" s="326">
        <f>SUM(N139:N158)</f>
        <v>0</v>
      </c>
      <c r="O138" s="326">
        <f>SUM(O139:O158)</f>
        <v>-5110375</v>
      </c>
      <c r="P138" s="326">
        <f>E138+J138</f>
        <v>-1054095</v>
      </c>
    </row>
    <row r="139" spans="1:16" ht="228.75" x14ac:dyDescent="0.2">
      <c r="A139" s="394" t="s">
        <v>717</v>
      </c>
      <c r="B139" s="394" t="s">
        <v>335</v>
      </c>
      <c r="C139" s="394" t="s">
        <v>333</v>
      </c>
      <c r="D139" s="394" t="s">
        <v>334</v>
      </c>
      <c r="E139" s="249">
        <f>'d3'!E139-'d3-чистий'!E139</f>
        <v>58022</v>
      </c>
      <c r="F139" s="249">
        <f>'d3'!F139-'d3-чистий'!F139</f>
        <v>58022</v>
      </c>
      <c r="G139" s="249">
        <f>'d3'!G139-'d3-чистий'!G139</f>
        <v>260722</v>
      </c>
      <c r="H139" s="249">
        <f>'d3'!H139-'d3-чистий'!H139</f>
        <v>0</v>
      </c>
      <c r="I139" s="249">
        <f>'d3'!I139-'d3-чистий'!I139</f>
        <v>0</v>
      </c>
      <c r="J139" s="249">
        <f>'d3'!J139-'d3-чистий'!J139</f>
        <v>0</v>
      </c>
      <c r="K139" s="249">
        <f>'d3'!K139-'d3-чистий'!K139</f>
        <v>0</v>
      </c>
      <c r="L139" s="249">
        <f>'d3'!L139-'d3-чистий'!L139</f>
        <v>0</v>
      </c>
      <c r="M139" s="249">
        <f>'d3'!M139-'d3-чистий'!M139</f>
        <v>0</v>
      </c>
      <c r="N139" s="249">
        <f>'d3'!N139-'d3-чистий'!N139</f>
        <v>0</v>
      </c>
      <c r="O139" s="249">
        <f>'d3'!O139-'d3-чистий'!O139</f>
        <v>0</v>
      </c>
      <c r="P139" s="249">
        <f>'d3'!P139-'d3-чистий'!P139</f>
        <v>58022</v>
      </c>
    </row>
    <row r="140" spans="1:16" ht="91.5" x14ac:dyDescent="0.2">
      <c r="A140" s="394" t="s">
        <v>806</v>
      </c>
      <c r="B140" s="394" t="s">
        <v>71</v>
      </c>
      <c r="C140" s="394" t="s">
        <v>70</v>
      </c>
      <c r="D140" s="394" t="s">
        <v>348</v>
      </c>
      <c r="E140" s="249">
        <f>'d3'!E140-'d3-чистий'!E140</f>
        <v>0</v>
      </c>
      <c r="F140" s="249">
        <f>'d3'!F140-'d3-чистий'!F140</f>
        <v>0</v>
      </c>
      <c r="G140" s="249">
        <f>'d3'!G140-'d3-чистий'!G140</f>
        <v>0</v>
      </c>
      <c r="H140" s="249">
        <f>'d3'!H140-'d3-чистий'!H140</f>
        <v>0</v>
      </c>
      <c r="I140" s="249">
        <f>'d3'!I140-'d3-чистий'!I140</f>
        <v>0</v>
      </c>
      <c r="J140" s="249">
        <f>'d3'!J140-'d3-чистий'!J140</f>
        <v>0</v>
      </c>
      <c r="K140" s="249">
        <f>'d3'!K140-'d3-чистий'!K140</f>
        <v>0</v>
      </c>
      <c r="L140" s="249">
        <f>'d3'!L140-'d3-чистий'!L140</f>
        <v>0</v>
      </c>
      <c r="M140" s="249">
        <f>'d3'!M140-'d3-чистий'!M140</f>
        <v>0</v>
      </c>
      <c r="N140" s="249">
        <f>'d3'!N140-'d3-чистий'!N140</f>
        <v>0</v>
      </c>
      <c r="O140" s="249">
        <f>'d3'!O140-'d3-чистий'!O140</f>
        <v>0</v>
      </c>
      <c r="P140" s="249">
        <f>'d3'!P140-'d3-чистий'!P140</f>
        <v>0</v>
      </c>
    </row>
    <row r="141" spans="1:16" ht="137.25" x14ac:dyDescent="0.2">
      <c r="A141" s="394" t="s">
        <v>411</v>
      </c>
      <c r="B141" s="394" t="s">
        <v>412</v>
      </c>
      <c r="C141" s="394" t="s">
        <v>529</v>
      </c>
      <c r="D141" s="394" t="s">
        <v>413</v>
      </c>
      <c r="E141" s="249">
        <f>'d3'!E141-'d3-чистий'!E141</f>
        <v>0</v>
      </c>
      <c r="F141" s="249">
        <f>'d3'!F141-'d3-чистий'!F141</f>
        <v>0</v>
      </c>
      <c r="G141" s="249">
        <f>'d3'!G141-'d3-чистий'!G141</f>
        <v>0</v>
      </c>
      <c r="H141" s="249">
        <f>'d3'!H141-'d3-чистий'!H141</f>
        <v>0</v>
      </c>
      <c r="I141" s="249">
        <f>'d3'!I141-'d3-чистий'!I141</f>
        <v>0</v>
      </c>
      <c r="J141" s="249">
        <f>'d3'!J141-'d3-чистий'!J141</f>
        <v>-95000</v>
      </c>
      <c r="K141" s="249">
        <f>'d3'!K141-'d3-чистий'!K141</f>
        <v>-95000</v>
      </c>
      <c r="L141" s="249">
        <f>'d3'!L141-'d3-чистий'!L141</f>
        <v>0</v>
      </c>
      <c r="M141" s="249">
        <f>'d3'!M141-'d3-чистий'!M141</f>
        <v>0</v>
      </c>
      <c r="N141" s="249">
        <f>'d3'!N141-'d3-чистий'!N141</f>
        <v>0</v>
      </c>
      <c r="O141" s="249">
        <f>'d3'!O141-'d3-чистий'!O141</f>
        <v>-95000</v>
      </c>
      <c r="P141" s="249">
        <f>'d3'!P141-'d3-чистий'!P141</f>
        <v>-95000</v>
      </c>
    </row>
    <row r="142" spans="1:16" ht="137.25" x14ac:dyDescent="0.2">
      <c r="A142" s="394" t="s">
        <v>624</v>
      </c>
      <c r="B142" s="394" t="s">
        <v>625</v>
      </c>
      <c r="C142" s="394" t="s">
        <v>414</v>
      </c>
      <c r="D142" s="394" t="s">
        <v>626</v>
      </c>
      <c r="E142" s="249">
        <f>'d3'!E142-'d3-чистий'!E142</f>
        <v>2500000</v>
      </c>
      <c r="F142" s="249">
        <f>'d3'!F142-'d3-чистий'!F142</f>
        <v>2500000</v>
      </c>
      <c r="G142" s="249">
        <f>'d3'!G142-'d3-чистий'!G142</f>
        <v>0</v>
      </c>
      <c r="H142" s="249">
        <f>'d3'!H142-'d3-чистий'!H142</f>
        <v>0</v>
      </c>
      <c r="I142" s="249">
        <f>'d3'!I142-'d3-чистий'!I142</f>
        <v>0</v>
      </c>
      <c r="J142" s="249">
        <f>'d3'!J142-'d3-чистий'!J142</f>
        <v>0</v>
      </c>
      <c r="K142" s="249">
        <f>'d3'!K142-'d3-чистий'!K142</f>
        <v>0</v>
      </c>
      <c r="L142" s="249">
        <f>'d3'!L142-'d3-чистий'!L142</f>
        <v>0</v>
      </c>
      <c r="M142" s="249">
        <f>'d3'!M142-'d3-чистий'!M142</f>
        <v>0</v>
      </c>
      <c r="N142" s="249">
        <f>'d3'!N142-'d3-чистий'!N142</f>
        <v>0</v>
      </c>
      <c r="O142" s="249">
        <f>'d3'!O142-'d3-чистий'!O142</f>
        <v>0</v>
      </c>
      <c r="P142" s="249">
        <f>'d3'!P142-'d3-чистий'!P142</f>
        <v>2500000</v>
      </c>
    </row>
    <row r="143" spans="1:16" ht="137.25" x14ac:dyDescent="0.2">
      <c r="A143" s="394" t="s">
        <v>418</v>
      </c>
      <c r="B143" s="394" t="s">
        <v>419</v>
      </c>
      <c r="C143" s="394" t="s">
        <v>414</v>
      </c>
      <c r="D143" s="394" t="s">
        <v>420</v>
      </c>
      <c r="E143" s="249">
        <f>'d3'!E143-'d3-чистий'!E143</f>
        <v>0</v>
      </c>
      <c r="F143" s="249">
        <f>'d3'!F143-'d3-чистий'!F143</f>
        <v>0</v>
      </c>
      <c r="G143" s="249">
        <f>'d3'!G143-'d3-чистий'!G143</f>
        <v>0</v>
      </c>
      <c r="H143" s="249">
        <f>'d3'!H143-'d3-чистий'!H143</f>
        <v>0</v>
      </c>
      <c r="I143" s="249">
        <f>'d3'!I143-'d3-чистий'!I143</f>
        <v>0</v>
      </c>
      <c r="J143" s="249">
        <f>'d3'!J143-'d3-чистий'!J143</f>
        <v>0</v>
      </c>
      <c r="K143" s="249">
        <f>'d3'!K143-'d3-чистий'!K143</f>
        <v>0</v>
      </c>
      <c r="L143" s="249">
        <f>'d3'!L143-'d3-чистий'!L143</f>
        <v>0</v>
      </c>
      <c r="M143" s="249">
        <f>'d3'!M143-'d3-чистий'!M143</f>
        <v>0</v>
      </c>
      <c r="N143" s="249">
        <f>'d3'!N143-'d3-чистий'!N143</f>
        <v>0</v>
      </c>
      <c r="O143" s="249">
        <f>'d3'!O143-'d3-чистий'!O143</f>
        <v>0</v>
      </c>
      <c r="P143" s="249">
        <f>'d3'!P143-'d3-чистий'!P143</f>
        <v>0</v>
      </c>
    </row>
    <row r="144" spans="1:16" ht="137.25" x14ac:dyDescent="0.2">
      <c r="A144" s="394" t="s">
        <v>441</v>
      </c>
      <c r="B144" s="394" t="s">
        <v>442</v>
      </c>
      <c r="C144" s="394" t="s">
        <v>414</v>
      </c>
      <c r="D144" s="394" t="s">
        <v>443</v>
      </c>
      <c r="E144" s="249">
        <f>'d3'!E144-'d3-чистий'!E144</f>
        <v>0</v>
      </c>
      <c r="F144" s="249">
        <f>'d3'!F144-'d3-чистий'!F144</f>
        <v>0</v>
      </c>
      <c r="G144" s="249">
        <f>'d3'!G144-'d3-чистий'!G144</f>
        <v>0</v>
      </c>
      <c r="H144" s="249">
        <f>'d3'!H144-'d3-чистий'!H144</f>
        <v>0</v>
      </c>
      <c r="I144" s="249">
        <f>'d3'!I144-'d3-чистий'!I144</f>
        <v>0</v>
      </c>
      <c r="J144" s="249">
        <f>'d3'!J144-'d3-чистий'!J144</f>
        <v>0</v>
      </c>
      <c r="K144" s="249">
        <f>'d3'!K144-'d3-чистий'!K144</f>
        <v>0</v>
      </c>
      <c r="L144" s="249">
        <f>'d3'!L144-'d3-чистий'!L144</f>
        <v>0</v>
      </c>
      <c r="M144" s="249">
        <f>'d3'!M144-'d3-чистий'!M144</f>
        <v>0</v>
      </c>
      <c r="N144" s="249">
        <f>'d3'!N144-'d3-чистий'!N144</f>
        <v>0</v>
      </c>
      <c r="O144" s="249">
        <f>'d3'!O144-'d3-чистий'!O144</f>
        <v>0</v>
      </c>
      <c r="P144" s="249">
        <f>'d3'!P144-'d3-чистий'!P144</f>
        <v>0</v>
      </c>
    </row>
    <row r="145" spans="1:16" ht="183" x14ac:dyDescent="0.2">
      <c r="A145" s="394" t="s">
        <v>415</v>
      </c>
      <c r="B145" s="394" t="s">
        <v>416</v>
      </c>
      <c r="C145" s="394" t="s">
        <v>414</v>
      </c>
      <c r="D145" s="394" t="s">
        <v>417</v>
      </c>
      <c r="E145" s="249">
        <f>'d3'!E145-'d3-чистий'!E145</f>
        <v>0</v>
      </c>
      <c r="F145" s="249">
        <f>'d3'!F145-'d3-чистий'!F145</f>
        <v>0</v>
      </c>
      <c r="G145" s="249">
        <f>'d3'!G145-'d3-чистий'!G145</f>
        <v>0</v>
      </c>
      <c r="H145" s="249">
        <f>'d3'!H145-'d3-чистий'!H145</f>
        <v>0</v>
      </c>
      <c r="I145" s="249">
        <f>'d3'!I145-'d3-чистий'!I145</f>
        <v>0</v>
      </c>
      <c r="J145" s="249">
        <f>'d3'!J145-'d3-чистий'!J145</f>
        <v>0</v>
      </c>
      <c r="K145" s="249">
        <f>'d3'!K145-'d3-чистий'!K145</f>
        <v>0</v>
      </c>
      <c r="L145" s="249">
        <f>'d3'!L145-'d3-чистий'!L145</f>
        <v>0</v>
      </c>
      <c r="M145" s="249">
        <f>'d3'!M145-'d3-чистий'!M145</f>
        <v>0</v>
      </c>
      <c r="N145" s="249">
        <f>'d3'!N145-'d3-чистий'!N145</f>
        <v>0</v>
      </c>
      <c r="O145" s="249">
        <f>'d3'!O145-'d3-чистий'!O145</f>
        <v>0</v>
      </c>
      <c r="P145" s="249">
        <f>'d3'!P145-'d3-чистий'!P145</f>
        <v>0</v>
      </c>
    </row>
    <row r="146" spans="1:16" ht="228.75" x14ac:dyDescent="0.2">
      <c r="A146" s="394" t="s">
        <v>435</v>
      </c>
      <c r="B146" s="394" t="s">
        <v>436</v>
      </c>
      <c r="C146" s="394" t="s">
        <v>414</v>
      </c>
      <c r="D146" s="394" t="s">
        <v>437</v>
      </c>
      <c r="E146" s="249">
        <f>'d3'!E146-'d3-чистий'!E146</f>
        <v>0</v>
      </c>
      <c r="F146" s="249">
        <f>'d3'!F146-'d3-чистий'!F146</f>
        <v>0</v>
      </c>
      <c r="G146" s="249">
        <f>'d3'!G146-'d3-чистий'!G146</f>
        <v>0</v>
      </c>
      <c r="H146" s="249">
        <f>'d3'!H146-'d3-чистий'!H146</f>
        <v>0</v>
      </c>
      <c r="I146" s="249">
        <f>'d3'!I146-'d3-чистий'!I146</f>
        <v>0</v>
      </c>
      <c r="J146" s="249">
        <f>'d3'!J146-'d3-чистий'!J146</f>
        <v>0</v>
      </c>
      <c r="K146" s="249">
        <f>'d3'!K146-'d3-чистий'!K146</f>
        <v>0</v>
      </c>
      <c r="L146" s="249">
        <f>'d3'!L146-'d3-чистий'!L146</f>
        <v>0</v>
      </c>
      <c r="M146" s="249">
        <f>'d3'!M146-'d3-чистий'!M146</f>
        <v>0</v>
      </c>
      <c r="N146" s="249">
        <f>'d3'!N146-'d3-чистий'!N146</f>
        <v>0</v>
      </c>
      <c r="O146" s="249">
        <f>'d3'!O146-'d3-чистий'!O146</f>
        <v>0</v>
      </c>
      <c r="P146" s="249">
        <f>'d3'!P146-'d3-чистий'!P146</f>
        <v>0</v>
      </c>
    </row>
    <row r="147" spans="1:16" ht="91.5" x14ac:dyDescent="0.2">
      <c r="A147" s="394" t="s">
        <v>421</v>
      </c>
      <c r="B147" s="394" t="s">
        <v>422</v>
      </c>
      <c r="C147" s="394" t="s">
        <v>414</v>
      </c>
      <c r="D147" s="394" t="s">
        <v>423</v>
      </c>
      <c r="E147" s="249">
        <f>'d3'!E147-'d3-чистий'!E147</f>
        <v>4093763</v>
      </c>
      <c r="F147" s="249">
        <f>'d3'!F147-'d3-чистий'!F147</f>
        <v>4093763</v>
      </c>
      <c r="G147" s="249">
        <f>'d3'!G147-'d3-чистий'!G147</f>
        <v>0</v>
      </c>
      <c r="H147" s="249">
        <f>'d3'!H147-'d3-чистий'!H147</f>
        <v>0</v>
      </c>
      <c r="I147" s="249">
        <f>'d3'!I147-'d3-чистий'!I147</f>
        <v>0</v>
      </c>
      <c r="J147" s="249">
        <f>'d3'!J147-'d3-чистий'!J147</f>
        <v>-1744949</v>
      </c>
      <c r="K147" s="249">
        <f>'d3'!K147-'d3-чистий'!K147</f>
        <v>-1744949</v>
      </c>
      <c r="L147" s="249">
        <f>'d3'!L147-'d3-чистий'!L147</f>
        <v>0</v>
      </c>
      <c r="M147" s="249">
        <f>'d3'!M147-'d3-чистий'!M147</f>
        <v>0</v>
      </c>
      <c r="N147" s="249">
        <f>'d3'!N147-'d3-чистий'!N147</f>
        <v>0</v>
      </c>
      <c r="O147" s="249">
        <f>'d3'!O147-'d3-чистий'!O147</f>
        <v>-1744949</v>
      </c>
      <c r="P147" s="249">
        <f>'d3'!P147-'d3-чистий'!P147</f>
        <v>2348814</v>
      </c>
    </row>
    <row r="148" spans="1:16" ht="92.25" x14ac:dyDescent="0.2">
      <c r="A148" s="394" t="s">
        <v>445</v>
      </c>
      <c r="B148" s="394" t="s">
        <v>446</v>
      </c>
      <c r="C148" s="394" t="s">
        <v>444</v>
      </c>
      <c r="D148" s="394" t="s">
        <v>447</v>
      </c>
      <c r="E148" s="249">
        <f>'d3'!E148-'d3-чистий'!E148</f>
        <v>0</v>
      </c>
      <c r="F148" s="249">
        <f>'d3'!F148-'d3-чистий'!F148</f>
        <v>0</v>
      </c>
      <c r="G148" s="249">
        <f>'d3'!G148-'d3-чистий'!G148</f>
        <v>0</v>
      </c>
      <c r="H148" s="249">
        <f>'d3'!H148-'d3-чистий'!H148</f>
        <v>0</v>
      </c>
      <c r="I148" s="249">
        <f>'d3'!I148-'d3-чистий'!I148</f>
        <v>0</v>
      </c>
      <c r="J148" s="249">
        <f>'d3'!J148-'d3-чистий'!J148</f>
        <v>-260000</v>
      </c>
      <c r="K148" s="249">
        <f>'d3'!K148-'d3-чистий'!K148</f>
        <v>-260000</v>
      </c>
      <c r="L148" s="249">
        <f>'d3'!L148-'d3-чистий'!L148</f>
        <v>0</v>
      </c>
      <c r="M148" s="249">
        <f>'d3'!M148-'d3-чистий'!M148</f>
        <v>0</v>
      </c>
      <c r="N148" s="249">
        <f>'d3'!N148-'d3-чистий'!N148</f>
        <v>0</v>
      </c>
      <c r="O148" s="249">
        <f>'d3'!O148-'d3-чистий'!O148</f>
        <v>-260000</v>
      </c>
      <c r="P148" s="249">
        <f>'d3'!P148-'d3-чистий'!P148</f>
        <v>-260000</v>
      </c>
    </row>
    <row r="149" spans="1:16" ht="137.25" x14ac:dyDescent="0.2">
      <c r="A149" s="394" t="s">
        <v>830</v>
      </c>
      <c r="B149" s="394" t="s">
        <v>559</v>
      </c>
      <c r="C149" s="394" t="s">
        <v>250</v>
      </c>
      <c r="D149" s="394" t="s">
        <v>392</v>
      </c>
      <c r="E149" s="249">
        <f>'d3'!E149-'d3-чистий'!E149</f>
        <v>0</v>
      </c>
      <c r="F149" s="249">
        <f>'d3'!F149-'d3-чистий'!F149</f>
        <v>0</v>
      </c>
      <c r="G149" s="249">
        <f>'d3'!G149-'d3-чистий'!G149</f>
        <v>0</v>
      </c>
      <c r="H149" s="249">
        <f>'d3'!H149-'d3-чистий'!H149</f>
        <v>0</v>
      </c>
      <c r="I149" s="249">
        <f>'d3'!I149-'d3-чистий'!I149</f>
        <v>0</v>
      </c>
      <c r="J149" s="249">
        <f>'d3'!J149-'d3-чистий'!J149</f>
        <v>0</v>
      </c>
      <c r="K149" s="249">
        <f>'d3'!K149-'d3-чистий'!K149</f>
        <v>0</v>
      </c>
      <c r="L149" s="249">
        <f>'d3'!L149-'d3-чистий'!L149</f>
        <v>0</v>
      </c>
      <c r="M149" s="249">
        <f>'d3'!M149-'d3-чистий'!M149</f>
        <v>0</v>
      </c>
      <c r="N149" s="249">
        <f>'d3'!N149-'d3-чистий'!N149</f>
        <v>0</v>
      </c>
      <c r="O149" s="249">
        <f>'d3'!O149-'d3-чистий'!O149</f>
        <v>0</v>
      </c>
      <c r="P149" s="249">
        <f>'d3'!P149-'d3-чистий'!P149</f>
        <v>0</v>
      </c>
    </row>
    <row r="150" spans="1:16" ht="91.5" x14ac:dyDescent="0.2">
      <c r="A150" s="394" t="s">
        <v>700</v>
      </c>
      <c r="B150" s="394" t="s">
        <v>701</v>
      </c>
      <c r="C150" s="394" t="s">
        <v>702</v>
      </c>
      <c r="D150" s="394" t="s">
        <v>703</v>
      </c>
      <c r="E150" s="249">
        <f>'d3'!E150-'d3-чистий'!E150</f>
        <v>0</v>
      </c>
      <c r="F150" s="249">
        <f>'d3'!F150-'d3-чистий'!F150</f>
        <v>0</v>
      </c>
      <c r="G150" s="249">
        <f>'d3'!G150-'d3-чистий'!G150</f>
        <v>0</v>
      </c>
      <c r="H150" s="249">
        <f>'d3'!H150-'d3-чистий'!H150</f>
        <v>0</v>
      </c>
      <c r="I150" s="249">
        <f>'d3'!I150-'d3-чистий'!I150</f>
        <v>0</v>
      </c>
      <c r="J150" s="249">
        <f>'d3'!J150-'d3-чистий'!J150</f>
        <v>0</v>
      </c>
      <c r="K150" s="249">
        <f>'d3'!K150-'d3-чистий'!K150</f>
        <v>0</v>
      </c>
      <c r="L150" s="249">
        <f>'d3'!L150-'d3-чистий'!L150</f>
        <v>0</v>
      </c>
      <c r="M150" s="249">
        <f>'d3'!M150-'d3-чистий'!M150</f>
        <v>0</v>
      </c>
      <c r="N150" s="249">
        <f>'d3'!N150-'d3-чистий'!N150</f>
        <v>0</v>
      </c>
      <c r="O150" s="249">
        <f>'d3'!O150-'d3-чистий'!O150</f>
        <v>0</v>
      </c>
      <c r="P150" s="249">
        <f>'d3'!P150-'d3-чистий'!P150</f>
        <v>0</v>
      </c>
    </row>
    <row r="151" spans="1:16" ht="91.5" x14ac:dyDescent="0.2">
      <c r="A151" s="394" t="s">
        <v>424</v>
      </c>
      <c r="B151" s="394" t="s">
        <v>425</v>
      </c>
      <c r="C151" s="394" t="s">
        <v>427</v>
      </c>
      <c r="D151" s="394" t="s">
        <v>426</v>
      </c>
      <c r="E151" s="249">
        <f>'d3'!E151-'d3-чистий'!E151</f>
        <v>-2298505</v>
      </c>
      <c r="F151" s="249">
        <f>'d3'!F151-'d3-чистий'!F151</f>
        <v>-2298505</v>
      </c>
      <c r="G151" s="249">
        <f>'d3'!G151-'d3-чистий'!G151</f>
        <v>0</v>
      </c>
      <c r="H151" s="249">
        <f>'d3'!H151-'d3-чистий'!H151</f>
        <v>0</v>
      </c>
      <c r="I151" s="249">
        <f>'d3'!I151-'d3-чистий'!I151</f>
        <v>0</v>
      </c>
      <c r="J151" s="249">
        <f>'d3'!J151-'d3-чистий'!J151</f>
        <v>0</v>
      </c>
      <c r="K151" s="249">
        <f>'d3'!K151-'d3-чистий'!K151</f>
        <v>0</v>
      </c>
      <c r="L151" s="249">
        <f>'d3'!L151-'d3-чистий'!L151</f>
        <v>0</v>
      </c>
      <c r="M151" s="249">
        <f>'d3'!M151-'d3-чистий'!M151</f>
        <v>0</v>
      </c>
      <c r="N151" s="249">
        <f>'d3'!N151-'d3-чистий'!N151</f>
        <v>0</v>
      </c>
      <c r="O151" s="249">
        <f>'d3'!O151-'d3-чистий'!O151</f>
        <v>0</v>
      </c>
      <c r="P151" s="249">
        <f>'d3'!P151-'d3-чистий'!P151</f>
        <v>-2298505</v>
      </c>
    </row>
    <row r="152" spans="1:16" ht="228.75" x14ac:dyDescent="0.2">
      <c r="A152" s="394" t="s">
        <v>428</v>
      </c>
      <c r="B152" s="394" t="s">
        <v>429</v>
      </c>
      <c r="C152" s="394" t="s">
        <v>431</v>
      </c>
      <c r="D152" s="394" t="s">
        <v>430</v>
      </c>
      <c r="E152" s="249">
        <f>'d3'!E152-'d3-чистий'!E152</f>
        <v>-297000</v>
      </c>
      <c r="F152" s="249">
        <f>'d3'!F152-'d3-чистий'!F152</f>
        <v>-297000</v>
      </c>
      <c r="G152" s="249">
        <f>'d3'!G152-'d3-чистий'!G152</f>
        <v>0</v>
      </c>
      <c r="H152" s="249">
        <f>'d3'!H152-'d3-чистий'!H152</f>
        <v>0</v>
      </c>
      <c r="I152" s="249">
        <f>'d3'!I152-'d3-чистий'!I152</f>
        <v>0</v>
      </c>
      <c r="J152" s="249">
        <f>'d3'!J152-'d3-чистий'!J152</f>
        <v>-3200000</v>
      </c>
      <c r="K152" s="249">
        <f>'d3'!K152-'d3-чистий'!K152</f>
        <v>-3200000</v>
      </c>
      <c r="L152" s="249">
        <f>'d3'!L152-'d3-чистий'!L152</f>
        <v>0</v>
      </c>
      <c r="M152" s="249">
        <f>'d3'!M152-'d3-чистий'!M152</f>
        <v>0</v>
      </c>
      <c r="N152" s="249">
        <f>'d3'!N152-'d3-чистий'!N152</f>
        <v>0</v>
      </c>
      <c r="O152" s="249">
        <f>'d3'!O152-'d3-чистий'!O152</f>
        <v>-3200000</v>
      </c>
      <c r="P152" s="249">
        <f>'d3'!P152-'d3-чистий'!P152</f>
        <v>-3497000</v>
      </c>
    </row>
    <row r="153" spans="1:16" ht="228.75" x14ac:dyDescent="0.2">
      <c r="A153" s="394" t="s">
        <v>935</v>
      </c>
      <c r="B153" s="394" t="s">
        <v>936</v>
      </c>
      <c r="C153" s="394" t="s">
        <v>431</v>
      </c>
      <c r="D153" s="394" t="s">
        <v>937</v>
      </c>
      <c r="E153" s="249">
        <f>'d3'!E153-'d3-чистий'!E153</f>
        <v>0</v>
      </c>
      <c r="F153" s="249">
        <f>'d3'!F153-'d3-чистий'!F153</f>
        <v>0</v>
      </c>
      <c r="G153" s="249">
        <f>'d3'!G153-'d3-чистий'!G153</f>
        <v>0</v>
      </c>
      <c r="H153" s="249">
        <f>'d3'!H153-'d3-чистий'!H153</f>
        <v>0</v>
      </c>
      <c r="I153" s="249">
        <f>'d3'!I153-'d3-чистий'!I153</f>
        <v>0</v>
      </c>
      <c r="J153" s="249">
        <f>'d3'!J153-'d3-чистий'!J153</f>
        <v>0</v>
      </c>
      <c r="K153" s="249">
        <f>'d3'!K153-'d3-чистий'!K153</f>
        <v>0</v>
      </c>
      <c r="L153" s="249">
        <f>'d3'!L153-'d3-чистий'!L153</f>
        <v>0</v>
      </c>
      <c r="M153" s="249">
        <f>'d3'!M153-'d3-чистий'!M153</f>
        <v>0</v>
      </c>
      <c r="N153" s="249">
        <f>'d3'!N153-'d3-чистий'!N153</f>
        <v>0</v>
      </c>
      <c r="O153" s="249">
        <f>'d3'!O153-'d3-чистий'!O153</f>
        <v>0</v>
      </c>
      <c r="P153" s="249">
        <f>'d3'!P153-'d3-чистий'!P153</f>
        <v>0</v>
      </c>
    </row>
    <row r="154" spans="1:16" ht="46.5" x14ac:dyDescent="0.2">
      <c r="A154" s="394" t="s">
        <v>432</v>
      </c>
      <c r="B154" s="394" t="s">
        <v>311</v>
      </c>
      <c r="C154" s="394" t="s">
        <v>312</v>
      </c>
      <c r="D154" s="394" t="s">
        <v>67</v>
      </c>
      <c r="E154" s="249">
        <f>'d3'!E154-'d3-чистий'!E154</f>
        <v>0</v>
      </c>
      <c r="F154" s="249">
        <f>'d3'!F154-'d3-чистий'!F154</f>
        <v>0</v>
      </c>
      <c r="G154" s="249">
        <f>'d3'!G154-'d3-чистий'!G154</f>
        <v>0</v>
      </c>
      <c r="H154" s="249">
        <f>'d3'!H154-'d3-чистий'!H154</f>
        <v>0</v>
      </c>
      <c r="I154" s="249">
        <f>'d3'!I154-'d3-чистий'!I154</f>
        <v>0</v>
      </c>
      <c r="J154" s="249">
        <f>'d3'!J154-'d3-чистий'!J154</f>
        <v>0</v>
      </c>
      <c r="K154" s="249">
        <f>'d3'!K154-'d3-чистий'!K154</f>
        <v>0</v>
      </c>
      <c r="L154" s="249">
        <f>'d3'!L154-'d3-чистий'!L154</f>
        <v>0</v>
      </c>
      <c r="M154" s="249">
        <f>'d3'!M154-'d3-чистий'!M154</f>
        <v>0</v>
      </c>
      <c r="N154" s="249">
        <f>'d3'!N154-'d3-чистий'!N154</f>
        <v>0</v>
      </c>
      <c r="O154" s="249">
        <f>'d3'!O154-'d3-чистий'!O154</f>
        <v>0</v>
      </c>
      <c r="P154" s="249">
        <f>'d3'!P154-'d3-чистий'!P154</f>
        <v>0</v>
      </c>
    </row>
    <row r="155" spans="1:16" ht="91.5" x14ac:dyDescent="0.2">
      <c r="A155" s="394" t="s">
        <v>449</v>
      </c>
      <c r="B155" s="394" t="s">
        <v>287</v>
      </c>
      <c r="C155" s="394" t="s">
        <v>250</v>
      </c>
      <c r="D155" s="394" t="s">
        <v>57</v>
      </c>
      <c r="E155" s="249">
        <f>'d3'!E155-'d3-чистий'!E155</f>
        <v>0</v>
      </c>
      <c r="F155" s="249">
        <f>'d3'!F155-'d3-чистий'!F155</f>
        <v>0</v>
      </c>
      <c r="G155" s="249">
        <f>'d3'!G155-'d3-чистий'!G155</f>
        <v>0</v>
      </c>
      <c r="H155" s="249">
        <f>'d3'!H155-'d3-чистий'!H155</f>
        <v>0</v>
      </c>
      <c r="I155" s="249">
        <f>'d3'!I155-'d3-чистий'!I155</f>
        <v>0</v>
      </c>
      <c r="J155" s="249">
        <f>'d3'!J155-'d3-чистий'!J155</f>
        <v>189574</v>
      </c>
      <c r="K155" s="249">
        <f>'d3'!K155-'d3-чистий'!K155</f>
        <v>189574</v>
      </c>
      <c r="L155" s="249">
        <f>'d3'!L155-'d3-чистий'!L155</f>
        <v>0</v>
      </c>
      <c r="M155" s="249">
        <f>'d3'!M155-'d3-чистий'!M155</f>
        <v>0</v>
      </c>
      <c r="N155" s="249">
        <f>'d3'!N155-'d3-чистий'!N155</f>
        <v>0</v>
      </c>
      <c r="O155" s="249">
        <f>'d3'!O155-'d3-чистий'!O155</f>
        <v>189574</v>
      </c>
      <c r="P155" s="249">
        <f>'d3'!P155-'d3-чистий'!P155</f>
        <v>189574</v>
      </c>
    </row>
    <row r="156" spans="1:16" ht="409.5" x14ac:dyDescent="0.2">
      <c r="A156" s="476" t="s">
        <v>724</v>
      </c>
      <c r="B156" s="476" t="s">
        <v>525</v>
      </c>
      <c r="C156" s="476" t="s">
        <v>250</v>
      </c>
      <c r="D156" s="267" t="s">
        <v>536</v>
      </c>
      <c r="E156" s="572">
        <f>'d3'!E156-'d3-чистий'!E156</f>
        <v>0</v>
      </c>
      <c r="F156" s="572">
        <f>'d3'!F156-'d3-чистий'!F156</f>
        <v>0</v>
      </c>
      <c r="G156" s="572">
        <f>'d3'!G156-'d3-чистий'!G156</f>
        <v>0</v>
      </c>
      <c r="H156" s="572">
        <f>'d3'!H156-'d3-чистий'!H156</f>
        <v>0</v>
      </c>
      <c r="I156" s="572">
        <f>'d3'!I156-'d3-чистий'!I156</f>
        <v>0</v>
      </c>
      <c r="J156" s="572">
        <f>'d3'!J156-'d3-чистий'!J156</f>
        <v>0</v>
      </c>
      <c r="K156" s="572">
        <f>'d3'!K156-'d3-чистий'!K156</f>
        <v>0</v>
      </c>
      <c r="L156" s="572">
        <f>'d3'!L156-'d3-чистий'!L156</f>
        <v>0</v>
      </c>
      <c r="M156" s="572">
        <f>'d3'!M156-'d3-чистий'!M156</f>
        <v>0</v>
      </c>
      <c r="N156" s="572">
        <f>'d3'!N156-'d3-чистий'!N156</f>
        <v>0</v>
      </c>
      <c r="O156" s="572">
        <f>'d3'!O156-'d3-чистий'!O156</f>
        <v>0</v>
      </c>
      <c r="P156" s="572">
        <f>'d3'!P156-'d3-чистий'!P156</f>
        <v>0</v>
      </c>
    </row>
    <row r="157" spans="1:16" ht="137.25" x14ac:dyDescent="0.2">
      <c r="A157" s="513"/>
      <c r="B157" s="513"/>
      <c r="C157" s="513"/>
      <c r="D157" s="268" t="s">
        <v>537</v>
      </c>
      <c r="E157" s="469"/>
      <c r="F157" s="469">
        <f>'d3'!F157-'d3-чистий'!F157</f>
        <v>0</v>
      </c>
      <c r="G157" s="469">
        <f>'d3'!G157-'d3-чистий'!G157</f>
        <v>0</v>
      </c>
      <c r="H157" s="469">
        <f>'d3'!H157-'d3-чистий'!H157</f>
        <v>0</v>
      </c>
      <c r="I157" s="469">
        <f>'d3'!I157-'d3-чистий'!I157</f>
        <v>0</v>
      </c>
      <c r="J157" s="469">
        <f>'d3'!J157-'d3-чистий'!J157</f>
        <v>0</v>
      </c>
      <c r="K157" s="469">
        <f>'d3'!K157-'d3-чистий'!K157</f>
        <v>0</v>
      </c>
      <c r="L157" s="469">
        <f>'d3'!L157-'d3-чистий'!L157</f>
        <v>0</v>
      </c>
      <c r="M157" s="469">
        <f>'d3'!M157-'d3-чистий'!M157</f>
        <v>0</v>
      </c>
      <c r="N157" s="469">
        <f>'d3'!N157-'d3-чистий'!N157</f>
        <v>0</v>
      </c>
      <c r="O157" s="469">
        <f>'d3'!O157-'d3-чистий'!O157</f>
        <v>0</v>
      </c>
      <c r="P157" s="469">
        <f>'d3'!P157-'d3-чистий'!P157</f>
        <v>0</v>
      </c>
    </row>
    <row r="158" spans="1:16" ht="91.5" x14ac:dyDescent="0.2">
      <c r="A158" s="394" t="s">
        <v>379</v>
      </c>
      <c r="B158" s="394" t="s">
        <v>380</v>
      </c>
      <c r="C158" s="394" t="s">
        <v>381</v>
      </c>
      <c r="D158" s="394" t="s">
        <v>378</v>
      </c>
      <c r="E158" s="249">
        <f>'d3'!E158-'d3-чистий'!E158</f>
        <v>0</v>
      </c>
      <c r="F158" s="249">
        <f>'d3'!F158-'d3-чистий'!F158</f>
        <v>0</v>
      </c>
      <c r="G158" s="249">
        <f>'d3'!G158-'d3-чистий'!G158</f>
        <v>0</v>
      </c>
      <c r="H158" s="249">
        <f>'d3'!H158-'d3-чистий'!H158</f>
        <v>0</v>
      </c>
      <c r="I158" s="249">
        <f>'d3'!I158-'d3-чистий'!I158</f>
        <v>0</v>
      </c>
      <c r="J158" s="249">
        <f>'d3'!J158-'d3-чистий'!J158</f>
        <v>0</v>
      </c>
      <c r="K158" s="249">
        <f>'d3'!K158-'d3-чистий'!K158</f>
        <v>0</v>
      </c>
      <c r="L158" s="249">
        <f>'d3'!L158-'d3-чистий'!L158</f>
        <v>0</v>
      </c>
      <c r="M158" s="249">
        <f>'d3'!M158-'d3-чистий'!M158</f>
        <v>0</v>
      </c>
      <c r="N158" s="249">
        <f>'d3'!N158-'d3-чистий'!N158</f>
        <v>0</v>
      </c>
      <c r="O158" s="249">
        <f>'d3'!O158-'d3-чистий'!O158</f>
        <v>0</v>
      </c>
      <c r="P158" s="249">
        <f>'d3'!P158-'d3-чистий'!P158</f>
        <v>0</v>
      </c>
    </row>
    <row r="159" spans="1:16" ht="315" x14ac:dyDescent="0.2">
      <c r="A159" s="327" t="s">
        <v>44</v>
      </c>
      <c r="B159" s="327"/>
      <c r="C159" s="327"/>
      <c r="D159" s="328" t="s">
        <v>619</v>
      </c>
      <c r="E159" s="329">
        <f>E160</f>
        <v>-484980</v>
      </c>
      <c r="F159" s="329">
        <f t="shared" ref="F159:G159" si="38">F160</f>
        <v>-484980</v>
      </c>
      <c r="G159" s="329">
        <f t="shared" si="38"/>
        <v>-50000</v>
      </c>
      <c r="H159" s="329">
        <f>H160</f>
        <v>-3830</v>
      </c>
      <c r="I159" s="329">
        <f t="shared" ref="I159" si="39">I160</f>
        <v>0</v>
      </c>
      <c r="J159" s="329">
        <f>J160</f>
        <v>2777480</v>
      </c>
      <c r="K159" s="329">
        <f>K160</f>
        <v>2777480</v>
      </c>
      <c r="L159" s="329">
        <f>L160</f>
        <v>0</v>
      </c>
      <c r="M159" s="329">
        <f t="shared" ref="M159" si="40">M160</f>
        <v>0</v>
      </c>
      <c r="N159" s="329">
        <f>N160</f>
        <v>0</v>
      </c>
      <c r="O159" s="329">
        <f>O160</f>
        <v>2777480</v>
      </c>
      <c r="P159" s="329">
        <f t="shared" ref="P159" si="41">P160</f>
        <v>2292500</v>
      </c>
    </row>
    <row r="160" spans="1:16" ht="270" x14ac:dyDescent="0.2">
      <c r="A160" s="324" t="s">
        <v>45</v>
      </c>
      <c r="B160" s="324"/>
      <c r="C160" s="324"/>
      <c r="D160" s="325" t="s">
        <v>618</v>
      </c>
      <c r="E160" s="326">
        <f>SUM(E161:E167)</f>
        <v>-484980</v>
      </c>
      <c r="F160" s="326">
        <f t="shared" ref="F160:O160" si="42">SUM(F161:F167)</f>
        <v>-484980</v>
      </c>
      <c r="G160" s="326">
        <f t="shared" si="42"/>
        <v>-50000</v>
      </c>
      <c r="H160" s="326">
        <f t="shared" si="42"/>
        <v>-3830</v>
      </c>
      <c r="I160" s="326">
        <f t="shared" si="42"/>
        <v>0</v>
      </c>
      <c r="J160" s="326">
        <f t="shared" ref="J160" si="43">L160+O160</f>
        <v>2777480</v>
      </c>
      <c r="K160" s="326">
        <f t="shared" si="42"/>
        <v>2777480</v>
      </c>
      <c r="L160" s="326">
        <f t="shared" si="42"/>
        <v>0</v>
      </c>
      <c r="M160" s="326">
        <f t="shared" si="42"/>
        <v>0</v>
      </c>
      <c r="N160" s="326">
        <f t="shared" si="42"/>
        <v>0</v>
      </c>
      <c r="O160" s="326">
        <f t="shared" si="42"/>
        <v>2777480</v>
      </c>
      <c r="P160" s="326">
        <f t="shared" ref="P160" si="44">E160+J160</f>
        <v>2292500</v>
      </c>
    </row>
    <row r="161" spans="1:16" ht="228.75" x14ac:dyDescent="0.2">
      <c r="A161" s="394" t="s">
        <v>713</v>
      </c>
      <c r="B161" s="394" t="s">
        <v>335</v>
      </c>
      <c r="C161" s="394" t="s">
        <v>333</v>
      </c>
      <c r="D161" s="394" t="s">
        <v>334</v>
      </c>
      <c r="E161" s="249">
        <f>'d3'!E161-'d3-чистий'!E161</f>
        <v>-89130</v>
      </c>
      <c r="F161" s="249">
        <f>'d3'!F161-'d3-чистий'!F161</f>
        <v>-89130</v>
      </c>
      <c r="G161" s="249">
        <f>'d3'!G161-'d3-чистий'!G161</f>
        <v>-50000</v>
      </c>
      <c r="H161" s="249">
        <f>'d3'!H161-'d3-чистий'!H161</f>
        <v>-3830</v>
      </c>
      <c r="I161" s="249">
        <f>'d3'!I161-'d3-чистий'!I161</f>
        <v>0</v>
      </c>
      <c r="J161" s="249">
        <f>'d3'!J161-'d3-чистий'!J161</f>
        <v>-3820</v>
      </c>
      <c r="K161" s="249">
        <f>'d3'!K161-'d3-чистий'!K161</f>
        <v>-3820</v>
      </c>
      <c r="L161" s="249">
        <f>'d3'!L161-'d3-чистий'!L161</f>
        <v>0</v>
      </c>
      <c r="M161" s="249">
        <f>'d3'!M161-'d3-чистий'!M161</f>
        <v>0</v>
      </c>
      <c r="N161" s="249">
        <f>'d3'!N161-'d3-чистий'!N161</f>
        <v>0</v>
      </c>
      <c r="O161" s="249">
        <f>'d3'!O161-'d3-чистий'!O161</f>
        <v>-3820</v>
      </c>
      <c r="P161" s="249">
        <f>'d3'!P161-'d3-чистий'!P161</f>
        <v>-92950</v>
      </c>
    </row>
    <row r="162" spans="1:16" ht="91.5" x14ac:dyDescent="0.2">
      <c r="A162" s="394" t="s">
        <v>804</v>
      </c>
      <c r="B162" s="394" t="s">
        <v>71</v>
      </c>
      <c r="C162" s="394" t="s">
        <v>70</v>
      </c>
      <c r="D162" s="394" t="s">
        <v>348</v>
      </c>
      <c r="E162" s="249">
        <f>'d3'!E162-'d3-чистий'!E162</f>
        <v>-395850</v>
      </c>
      <c r="F162" s="249">
        <f>'d3'!F162-'d3-чистий'!F162</f>
        <v>-395850</v>
      </c>
      <c r="G162" s="249">
        <f>'d3'!G162-'d3-чистий'!G162</f>
        <v>0</v>
      </c>
      <c r="H162" s="249">
        <f>'d3'!H162-'d3-чистий'!H162</f>
        <v>0</v>
      </c>
      <c r="I162" s="249">
        <f>'d3'!I162-'d3-чистий'!I162</f>
        <v>0</v>
      </c>
      <c r="J162" s="249">
        <f>'d3'!J162-'d3-чистий'!J162</f>
        <v>0</v>
      </c>
      <c r="K162" s="249">
        <f>'d3'!K162-'d3-чистий'!K162</f>
        <v>0</v>
      </c>
      <c r="L162" s="249">
        <f>'d3'!L162-'d3-чистий'!L162</f>
        <v>0</v>
      </c>
      <c r="M162" s="249">
        <f>'d3'!M162-'d3-чистий'!M162</f>
        <v>0</v>
      </c>
      <c r="N162" s="249">
        <f>'d3'!N162-'d3-чистий'!N162</f>
        <v>0</v>
      </c>
      <c r="O162" s="249">
        <f>'d3'!O162-'d3-чистий'!O162</f>
        <v>0</v>
      </c>
      <c r="P162" s="249">
        <f>'d3'!P162-'d3-чистий'!P162</f>
        <v>-395850</v>
      </c>
    </row>
    <row r="163" spans="1:16" ht="320.25" x14ac:dyDescent="0.2">
      <c r="A163" s="394" t="s">
        <v>808</v>
      </c>
      <c r="B163" s="394" t="s">
        <v>810</v>
      </c>
      <c r="C163" s="394" t="s">
        <v>285</v>
      </c>
      <c r="D163" s="394" t="s">
        <v>809</v>
      </c>
      <c r="E163" s="249">
        <f>'d3'!E163-'d3-чистий'!E163</f>
        <v>0</v>
      </c>
      <c r="F163" s="249">
        <f>'d3'!F163-'d3-чистий'!F163</f>
        <v>0</v>
      </c>
      <c r="G163" s="249">
        <f>'d3'!G163-'d3-чистий'!G163</f>
        <v>0</v>
      </c>
      <c r="H163" s="249">
        <f>'d3'!H163-'d3-чистий'!H163</f>
        <v>0</v>
      </c>
      <c r="I163" s="249">
        <f>'d3'!I163-'d3-чистий'!I163</f>
        <v>0</v>
      </c>
      <c r="J163" s="249">
        <f>'d3'!J163-'d3-чистий'!J163</f>
        <v>3500000</v>
      </c>
      <c r="K163" s="249">
        <f>'d3'!K163-'d3-чистий'!K163</f>
        <v>3500000</v>
      </c>
      <c r="L163" s="249">
        <f>'d3'!L163-'d3-чистий'!L163</f>
        <v>0</v>
      </c>
      <c r="M163" s="249">
        <f>'d3'!M163-'d3-чистий'!M163</f>
        <v>0</v>
      </c>
      <c r="N163" s="249">
        <f>'d3'!N163-'d3-чистий'!N163</f>
        <v>0</v>
      </c>
      <c r="O163" s="249">
        <f>'d3'!O163-'d3-чистий'!O163</f>
        <v>3500000</v>
      </c>
      <c r="P163" s="249">
        <f>'d3'!P163-'d3-чистий'!P163</f>
        <v>3500000</v>
      </c>
    </row>
    <row r="164" spans="1:16" ht="91.5" x14ac:dyDescent="0.2">
      <c r="A164" s="394" t="s">
        <v>463</v>
      </c>
      <c r="B164" s="394" t="s">
        <v>464</v>
      </c>
      <c r="C164" s="394" t="s">
        <v>444</v>
      </c>
      <c r="D164" s="394" t="s">
        <v>462</v>
      </c>
      <c r="E164" s="249">
        <f>'d3'!E164-'d3-чистий'!E164</f>
        <v>0</v>
      </c>
      <c r="F164" s="249">
        <f>'d3'!F164-'d3-чистий'!F164</f>
        <v>0</v>
      </c>
      <c r="G164" s="249">
        <f>'d3'!G164-'d3-чистий'!G164</f>
        <v>0</v>
      </c>
      <c r="H164" s="249">
        <f>'d3'!H164-'d3-чистий'!H164</f>
        <v>0</v>
      </c>
      <c r="I164" s="249">
        <f>'d3'!I164-'d3-чистий'!I164</f>
        <v>0</v>
      </c>
      <c r="J164" s="249">
        <f>'d3'!J164-'d3-чистий'!J164</f>
        <v>1980000</v>
      </c>
      <c r="K164" s="249">
        <f>'d3'!K164-'d3-чистий'!K164</f>
        <v>1980000</v>
      </c>
      <c r="L164" s="249">
        <f>'d3'!L164-'d3-чистий'!L164</f>
        <v>0</v>
      </c>
      <c r="M164" s="249">
        <f>'d3'!M164-'d3-чистий'!M164</f>
        <v>0</v>
      </c>
      <c r="N164" s="249">
        <f>'d3'!N164-'d3-чистий'!N164</f>
        <v>0</v>
      </c>
      <c r="O164" s="249">
        <f>'d3'!O164-'d3-чистий'!O164</f>
        <v>1980000</v>
      </c>
      <c r="P164" s="249">
        <f>'d3'!P164-'d3-чистий'!P164</f>
        <v>1980000</v>
      </c>
    </row>
    <row r="165" spans="1:16" ht="137.25" x14ac:dyDescent="0.2">
      <c r="A165" s="394" t="s">
        <v>465</v>
      </c>
      <c r="B165" s="394" t="s">
        <v>466</v>
      </c>
      <c r="C165" s="394" t="s">
        <v>444</v>
      </c>
      <c r="D165" s="394" t="s">
        <v>467</v>
      </c>
      <c r="E165" s="249">
        <f>'d3'!E165-'d3-чистий'!E165</f>
        <v>0</v>
      </c>
      <c r="F165" s="249">
        <f>'d3'!F165-'d3-чистий'!F165</f>
        <v>0</v>
      </c>
      <c r="G165" s="249">
        <f>'d3'!G165-'d3-чистий'!G165</f>
        <v>0</v>
      </c>
      <c r="H165" s="249">
        <f>'d3'!H165-'d3-чистий'!H165</f>
        <v>0</v>
      </c>
      <c r="I165" s="249">
        <f>'d3'!I165-'d3-чистий'!I165</f>
        <v>0</v>
      </c>
      <c r="J165" s="249">
        <f>'d3'!J165-'d3-чистий'!J165</f>
        <v>-450000</v>
      </c>
      <c r="K165" s="249">
        <f>'d3'!K165-'d3-чистий'!K165</f>
        <v>-450000</v>
      </c>
      <c r="L165" s="249">
        <f>'d3'!L165-'d3-чистий'!L165</f>
        <v>0</v>
      </c>
      <c r="M165" s="249">
        <f>'d3'!M165-'d3-чистий'!M165</f>
        <v>0</v>
      </c>
      <c r="N165" s="249">
        <f>'d3'!N165-'d3-чистий'!N165</f>
        <v>0</v>
      </c>
      <c r="O165" s="249">
        <f>'d3'!O165-'d3-чистий'!O165</f>
        <v>-450000</v>
      </c>
      <c r="P165" s="249">
        <f>'d3'!P165-'d3-чистий'!P165</f>
        <v>-450000</v>
      </c>
    </row>
    <row r="166" spans="1:16" ht="91.5" x14ac:dyDescent="0.2">
      <c r="A166" s="394" t="s">
        <v>468</v>
      </c>
      <c r="B166" s="394" t="s">
        <v>469</v>
      </c>
      <c r="C166" s="394" t="s">
        <v>444</v>
      </c>
      <c r="D166" s="394" t="s">
        <v>815</v>
      </c>
      <c r="E166" s="249">
        <f>'d3'!E166-'d3-чистий'!E166</f>
        <v>0</v>
      </c>
      <c r="F166" s="249">
        <f>'d3'!F166-'d3-чистий'!F166</f>
        <v>0</v>
      </c>
      <c r="G166" s="249">
        <f>'d3'!G166-'d3-чистий'!G166</f>
        <v>0</v>
      </c>
      <c r="H166" s="249">
        <f>'d3'!H166-'d3-чистий'!H166</f>
        <v>0</v>
      </c>
      <c r="I166" s="249">
        <f>'d3'!I166-'d3-чистий'!I166</f>
        <v>0</v>
      </c>
      <c r="J166" s="249">
        <f>'d3'!J166-'d3-чистий'!J166</f>
        <v>-2248700</v>
      </c>
      <c r="K166" s="249">
        <f>'d3'!K166-'d3-чистий'!K166</f>
        <v>-2248700</v>
      </c>
      <c r="L166" s="249">
        <f>'d3'!L166-'d3-чистий'!L166</f>
        <v>0</v>
      </c>
      <c r="M166" s="249">
        <f>'d3'!M166-'d3-чистий'!M166</f>
        <v>0</v>
      </c>
      <c r="N166" s="249">
        <f>'d3'!N166-'d3-чистий'!N166</f>
        <v>0</v>
      </c>
      <c r="O166" s="249">
        <f>'d3'!O166-'d3-чистий'!O166</f>
        <v>-2248700</v>
      </c>
      <c r="P166" s="249">
        <f>'d3'!P166-'d3-чистий'!P166</f>
        <v>-2248700</v>
      </c>
    </row>
    <row r="167" spans="1:16" ht="137.25" x14ac:dyDescent="0.2">
      <c r="A167" s="394" t="s">
        <v>903</v>
      </c>
      <c r="B167" s="394" t="s">
        <v>559</v>
      </c>
      <c r="C167" s="394" t="s">
        <v>250</v>
      </c>
      <c r="D167" s="394" t="s">
        <v>392</v>
      </c>
      <c r="E167" s="249">
        <f>'d3'!E167-'d3-чистий'!E167</f>
        <v>0</v>
      </c>
      <c r="F167" s="249">
        <f>'d3'!F167-'d3-чистий'!F167</f>
        <v>0</v>
      </c>
      <c r="G167" s="249">
        <f>'d3'!G167-'d3-чистий'!G167</f>
        <v>0</v>
      </c>
      <c r="H167" s="249">
        <f>'d3'!H167-'d3-чистий'!H167</f>
        <v>0</v>
      </c>
      <c r="I167" s="249">
        <f>'d3'!I167-'d3-чистий'!I167</f>
        <v>0</v>
      </c>
      <c r="J167" s="249">
        <f>'d3'!J167-'d3-чистий'!J167</f>
        <v>0</v>
      </c>
      <c r="K167" s="249">
        <f>'d3'!K167-'d3-чистий'!K167</f>
        <v>0</v>
      </c>
      <c r="L167" s="249">
        <f>'d3'!L167-'d3-чистий'!L167</f>
        <v>0</v>
      </c>
      <c r="M167" s="249">
        <f>'d3'!M167-'d3-чистий'!M167</f>
        <v>0</v>
      </c>
      <c r="N167" s="249">
        <f>'d3'!N167-'d3-чистий'!N167</f>
        <v>0</v>
      </c>
      <c r="O167" s="249">
        <f>'d3'!O167-'d3-чистий'!O167</f>
        <v>0</v>
      </c>
      <c r="P167" s="249">
        <f>'d3'!P167-'d3-чистий'!P167</f>
        <v>0</v>
      </c>
    </row>
    <row r="168" spans="1:16" ht="270" x14ac:dyDescent="0.2">
      <c r="A168" s="327" t="s">
        <v>240</v>
      </c>
      <c r="B168" s="327"/>
      <c r="C168" s="327"/>
      <c r="D168" s="328" t="s">
        <v>46</v>
      </c>
      <c r="E168" s="329">
        <f>E169</f>
        <v>-407500</v>
      </c>
      <c r="F168" s="329">
        <f t="shared" ref="F168:G168" si="45">F169</f>
        <v>-407500</v>
      </c>
      <c r="G168" s="329">
        <f t="shared" si="45"/>
        <v>-287300</v>
      </c>
      <c r="H168" s="329">
        <f>H169</f>
        <v>0</v>
      </c>
      <c r="I168" s="329">
        <f t="shared" ref="I168" si="46">I169</f>
        <v>0</v>
      </c>
      <c r="J168" s="329">
        <f>J169</f>
        <v>11900</v>
      </c>
      <c r="K168" s="329">
        <f>K169</f>
        <v>11900</v>
      </c>
      <c r="L168" s="329">
        <f>L169</f>
        <v>0</v>
      </c>
      <c r="M168" s="329">
        <f t="shared" ref="M168" si="47">M169</f>
        <v>0</v>
      </c>
      <c r="N168" s="329">
        <f>N169</f>
        <v>0</v>
      </c>
      <c r="O168" s="329">
        <f>O169</f>
        <v>11900</v>
      </c>
      <c r="P168" s="329">
        <f t="shared" ref="P168" si="48">P169</f>
        <v>-395600</v>
      </c>
    </row>
    <row r="169" spans="1:16" ht="270" x14ac:dyDescent="0.2">
      <c r="A169" s="324" t="s">
        <v>241</v>
      </c>
      <c r="B169" s="324"/>
      <c r="C169" s="324"/>
      <c r="D169" s="325" t="s">
        <v>64</v>
      </c>
      <c r="E169" s="326">
        <f>SUM(E170:E172)</f>
        <v>-407500</v>
      </c>
      <c r="F169" s="326">
        <f t="shared" ref="F169:O169" si="49">SUM(F170:F172)</f>
        <v>-407500</v>
      </c>
      <c r="G169" s="326">
        <f t="shared" si="49"/>
        <v>-287300</v>
      </c>
      <c r="H169" s="326">
        <f t="shared" si="49"/>
        <v>0</v>
      </c>
      <c r="I169" s="326">
        <f t="shared" si="49"/>
        <v>0</v>
      </c>
      <c r="J169" s="326">
        <f>L169+O169</f>
        <v>11900</v>
      </c>
      <c r="K169" s="326">
        <f t="shared" si="49"/>
        <v>11900</v>
      </c>
      <c r="L169" s="326">
        <f t="shared" si="49"/>
        <v>0</v>
      </c>
      <c r="M169" s="326">
        <f t="shared" si="49"/>
        <v>0</v>
      </c>
      <c r="N169" s="326">
        <f t="shared" si="49"/>
        <v>0</v>
      </c>
      <c r="O169" s="326">
        <f t="shared" si="49"/>
        <v>11900</v>
      </c>
      <c r="P169" s="326">
        <f>E169+J169</f>
        <v>-395600</v>
      </c>
    </row>
    <row r="170" spans="1:16" ht="228.75" x14ac:dyDescent="0.2">
      <c r="A170" s="394" t="s">
        <v>715</v>
      </c>
      <c r="B170" s="394" t="s">
        <v>335</v>
      </c>
      <c r="C170" s="394" t="s">
        <v>333</v>
      </c>
      <c r="D170" s="394" t="s">
        <v>334</v>
      </c>
      <c r="E170" s="249">
        <f>'d3'!E170-'d3-чистий'!E170</f>
        <v>-407500</v>
      </c>
      <c r="F170" s="249">
        <f>'d3'!F170-'d3-чистий'!F170</f>
        <v>-407500</v>
      </c>
      <c r="G170" s="249">
        <f>'d3'!G170-'d3-чистий'!G170</f>
        <v>-287300</v>
      </c>
      <c r="H170" s="249">
        <f>'d3'!H170-'d3-чистий'!H170</f>
        <v>0</v>
      </c>
      <c r="I170" s="249">
        <f>'d3'!I170-'d3-чистий'!I170</f>
        <v>0</v>
      </c>
      <c r="J170" s="249">
        <f>'d3'!J170-'d3-чистий'!J170</f>
        <v>11900</v>
      </c>
      <c r="K170" s="249">
        <f>'d3'!K170-'d3-чистий'!K170</f>
        <v>11900</v>
      </c>
      <c r="L170" s="249">
        <f>'d3'!L170-'d3-чистий'!L170</f>
        <v>0</v>
      </c>
      <c r="M170" s="249">
        <f>'d3'!M170-'d3-чистий'!M170</f>
        <v>0</v>
      </c>
      <c r="N170" s="249">
        <f>'d3'!N170-'d3-чистий'!N170</f>
        <v>0</v>
      </c>
      <c r="O170" s="249">
        <f>'d3'!O170-'d3-чистий'!O170</f>
        <v>11900</v>
      </c>
      <c r="P170" s="249">
        <f>'d3'!P170-'d3-чистий'!P170</f>
        <v>-395600</v>
      </c>
    </row>
    <row r="171" spans="1:16" ht="91.5" x14ac:dyDescent="0.2">
      <c r="A171" s="394" t="s">
        <v>946</v>
      </c>
      <c r="B171" s="394" t="s">
        <v>71</v>
      </c>
      <c r="C171" s="394" t="s">
        <v>70</v>
      </c>
      <c r="D171" s="394" t="s">
        <v>348</v>
      </c>
      <c r="E171" s="249">
        <f>'d3'!E171-'d3-чистий'!E171</f>
        <v>0</v>
      </c>
      <c r="F171" s="249">
        <f>'d3'!F171-'d3-чистий'!F171</f>
        <v>0</v>
      </c>
      <c r="G171" s="249">
        <f>'d3'!G171-'d3-чистий'!G171</f>
        <v>0</v>
      </c>
      <c r="H171" s="249">
        <f>'d3'!H171-'d3-чистий'!H171</f>
        <v>0</v>
      </c>
      <c r="I171" s="249">
        <f>'d3'!I171-'d3-чистий'!I171</f>
        <v>0</v>
      </c>
      <c r="J171" s="249">
        <f>'d3'!J171-'d3-чистий'!J171</f>
        <v>0</v>
      </c>
      <c r="K171" s="249">
        <f>'d3'!K171-'d3-чистий'!K171</f>
        <v>0</v>
      </c>
      <c r="L171" s="249">
        <f>'d3'!L171-'d3-чистий'!L171</f>
        <v>0</v>
      </c>
      <c r="M171" s="249">
        <f>'d3'!M171-'d3-чистий'!M171</f>
        <v>0</v>
      </c>
      <c r="N171" s="249">
        <f>'d3'!N171-'d3-чистий'!N171</f>
        <v>0</v>
      </c>
      <c r="O171" s="249">
        <f>'d3'!O171-'d3-чистий'!O171</f>
        <v>0</v>
      </c>
      <c r="P171" s="249">
        <f>'d3'!P171-'d3-чистий'!P171</f>
        <v>0</v>
      </c>
    </row>
    <row r="172" spans="1:16" ht="137.25" x14ac:dyDescent="0.2">
      <c r="A172" s="394" t="s">
        <v>454</v>
      </c>
      <c r="B172" s="394" t="s">
        <v>455</v>
      </c>
      <c r="C172" s="394" t="s">
        <v>444</v>
      </c>
      <c r="D172" s="394" t="s">
        <v>456</v>
      </c>
      <c r="E172" s="249">
        <f>'d3'!E172-'d3-чистий'!E172</f>
        <v>0</v>
      </c>
      <c r="F172" s="249">
        <f>'d3'!F172-'d3-чистий'!F172</f>
        <v>0</v>
      </c>
      <c r="G172" s="249">
        <f>'d3'!G172-'d3-чистий'!G172</f>
        <v>0</v>
      </c>
      <c r="H172" s="249">
        <f>'d3'!H172-'d3-чистий'!H172</f>
        <v>0</v>
      </c>
      <c r="I172" s="249">
        <f>'d3'!I172-'d3-чистий'!I172</f>
        <v>0</v>
      </c>
      <c r="J172" s="249">
        <f>'d3'!J172-'d3-чистий'!J172</f>
        <v>0</v>
      </c>
      <c r="K172" s="249">
        <f>'d3'!K172-'d3-чистий'!K172</f>
        <v>0</v>
      </c>
      <c r="L172" s="249">
        <f>'d3'!L172-'d3-чистий'!L172</f>
        <v>0</v>
      </c>
      <c r="M172" s="249">
        <f>'d3'!M172-'d3-чистий'!M172</f>
        <v>0</v>
      </c>
      <c r="N172" s="249">
        <f>'d3'!N172-'d3-чистий'!N172</f>
        <v>0</v>
      </c>
      <c r="O172" s="249">
        <f>'d3'!O172-'d3-чистий'!O172</f>
        <v>0</v>
      </c>
      <c r="P172" s="249">
        <f>'d3'!P172-'d3-чистий'!P172</f>
        <v>0</v>
      </c>
    </row>
    <row r="173" spans="1:16" ht="135" x14ac:dyDescent="0.2">
      <c r="A173" s="327" t="s">
        <v>246</v>
      </c>
      <c r="B173" s="327"/>
      <c r="C173" s="327"/>
      <c r="D173" s="328" t="s">
        <v>563</v>
      </c>
      <c r="E173" s="329">
        <f>E174</f>
        <v>0</v>
      </c>
      <c r="F173" s="329">
        <f t="shared" ref="F173:G173" si="50">F174</f>
        <v>0</v>
      </c>
      <c r="G173" s="329">
        <f t="shared" si="50"/>
        <v>0</v>
      </c>
      <c r="H173" s="329">
        <f>H174</f>
        <v>0</v>
      </c>
      <c r="I173" s="329">
        <f t="shared" ref="I173" si="51">I174</f>
        <v>0</v>
      </c>
      <c r="J173" s="329">
        <f>J174</f>
        <v>0</v>
      </c>
      <c r="K173" s="329">
        <f>K174</f>
        <v>0</v>
      </c>
      <c r="L173" s="329">
        <f>L174</f>
        <v>0</v>
      </c>
      <c r="M173" s="329">
        <f t="shared" ref="M173" si="52">M174</f>
        <v>0</v>
      </c>
      <c r="N173" s="329">
        <f>N174</f>
        <v>0</v>
      </c>
      <c r="O173" s="329">
        <f>O174</f>
        <v>0</v>
      </c>
      <c r="P173" s="329">
        <f t="shared" ref="P173" si="53">P174</f>
        <v>0</v>
      </c>
    </row>
    <row r="174" spans="1:16" ht="135" x14ac:dyDescent="0.2">
      <c r="A174" s="324" t="s">
        <v>247</v>
      </c>
      <c r="B174" s="324"/>
      <c r="C174" s="324"/>
      <c r="D174" s="325" t="s">
        <v>564</v>
      </c>
      <c r="E174" s="326">
        <f>SUM(E175:E179)</f>
        <v>0</v>
      </c>
      <c r="F174" s="326">
        <f t="shared" ref="F174:O174" si="54">SUM(F175:F179)</f>
        <v>0</v>
      </c>
      <c r="G174" s="326">
        <f t="shared" si="54"/>
        <v>0</v>
      </c>
      <c r="H174" s="326">
        <f t="shared" si="54"/>
        <v>0</v>
      </c>
      <c r="I174" s="326">
        <f t="shared" si="54"/>
        <v>0</v>
      </c>
      <c r="J174" s="326">
        <f t="shared" ref="J174:J175" si="55">L174+O174</f>
        <v>0</v>
      </c>
      <c r="K174" s="326">
        <f t="shared" si="54"/>
        <v>0</v>
      </c>
      <c r="L174" s="326">
        <f t="shared" si="54"/>
        <v>0</v>
      </c>
      <c r="M174" s="326">
        <f t="shared" si="54"/>
        <v>0</v>
      </c>
      <c r="N174" s="326">
        <f t="shared" si="54"/>
        <v>0</v>
      </c>
      <c r="O174" s="326">
        <f t="shared" si="54"/>
        <v>0</v>
      </c>
      <c r="P174" s="326">
        <f t="shared" ref="P174:P175" si="56">E174+J174</f>
        <v>0</v>
      </c>
    </row>
    <row r="175" spans="1:16" ht="137.25" hidden="1" x14ac:dyDescent="0.2">
      <c r="A175" s="251" t="s">
        <v>558</v>
      </c>
      <c r="B175" s="251" t="s">
        <v>559</v>
      </c>
      <c r="C175" s="251" t="s">
        <v>250</v>
      </c>
      <c r="D175" s="251" t="s">
        <v>392</v>
      </c>
      <c r="E175" s="318">
        <f>F175</f>
        <v>0</v>
      </c>
      <c r="F175" s="316"/>
      <c r="G175" s="316"/>
      <c r="H175" s="316"/>
      <c r="I175" s="316"/>
      <c r="J175" s="318">
        <f t="shared" si="55"/>
        <v>0</v>
      </c>
      <c r="K175" s="316">
        <f>(2000000)-2000000</f>
        <v>0</v>
      </c>
      <c r="L175" s="316"/>
      <c r="M175" s="316"/>
      <c r="N175" s="316"/>
      <c r="O175" s="323">
        <f>K175</f>
        <v>0</v>
      </c>
      <c r="P175" s="318">
        <f t="shared" si="56"/>
        <v>0</v>
      </c>
    </row>
    <row r="176" spans="1:16" ht="91.5" x14ac:dyDescent="0.2">
      <c r="A176" s="394" t="s">
        <v>390</v>
      </c>
      <c r="B176" s="394" t="s">
        <v>391</v>
      </c>
      <c r="C176" s="394" t="s">
        <v>389</v>
      </c>
      <c r="D176" s="394" t="s">
        <v>388</v>
      </c>
      <c r="E176" s="311">
        <f>'d3'!E176-'d3-чистий'!E176</f>
        <v>0</v>
      </c>
      <c r="F176" s="311">
        <f>'d3'!F176-'d3-чистий'!F176</f>
        <v>0</v>
      </c>
      <c r="G176" s="311">
        <f>'d3'!G176-'d3-чистий'!G176</f>
        <v>0</v>
      </c>
      <c r="H176" s="311">
        <f>'d3'!H176-'d3-чистий'!H176</f>
        <v>0</v>
      </c>
      <c r="I176" s="311">
        <f>'d3'!I176-'d3-чистий'!I176</f>
        <v>0</v>
      </c>
      <c r="J176" s="311">
        <f>'d3'!J176-'d3-чистий'!J176</f>
        <v>0</v>
      </c>
      <c r="K176" s="311">
        <f>'d3'!K176-'d3-чистий'!K176</f>
        <v>0</v>
      </c>
      <c r="L176" s="311">
        <f>'d3'!L176-'d3-чистий'!L176</f>
        <v>0</v>
      </c>
      <c r="M176" s="311">
        <f>'d3'!M176-'d3-чистий'!M176</f>
        <v>0</v>
      </c>
      <c r="N176" s="311">
        <f>'d3'!N176-'d3-чистий'!N176</f>
        <v>0</v>
      </c>
      <c r="O176" s="311">
        <f>'d3'!O176-'d3-чистий'!O176</f>
        <v>0</v>
      </c>
      <c r="P176" s="311">
        <f>'d3'!P176-'d3-чистий'!P176</f>
        <v>0</v>
      </c>
    </row>
    <row r="177" spans="1:16" ht="137.25" x14ac:dyDescent="0.2">
      <c r="A177" s="394" t="s">
        <v>382</v>
      </c>
      <c r="B177" s="394" t="s">
        <v>384</v>
      </c>
      <c r="C177" s="394" t="s">
        <v>312</v>
      </c>
      <c r="D177" s="394" t="s">
        <v>383</v>
      </c>
      <c r="E177" s="311">
        <f>'d3'!E177-'d3-чистий'!E177</f>
        <v>0</v>
      </c>
      <c r="F177" s="311">
        <f>'d3'!F177-'d3-чистий'!F177</f>
        <v>0</v>
      </c>
      <c r="G177" s="311">
        <f>'d3'!G177-'d3-чистий'!G177</f>
        <v>0</v>
      </c>
      <c r="H177" s="311">
        <f>'d3'!H177-'d3-чистий'!H177</f>
        <v>0</v>
      </c>
      <c r="I177" s="311">
        <f>'d3'!I177-'d3-чистий'!I177</f>
        <v>0</v>
      </c>
      <c r="J177" s="311">
        <f>'d3'!J177-'d3-чистий'!J177</f>
        <v>0</v>
      </c>
      <c r="K177" s="311">
        <f>'d3'!K177-'d3-чистий'!K177</f>
        <v>0</v>
      </c>
      <c r="L177" s="311">
        <f>'d3'!L177-'d3-чистий'!L177</f>
        <v>0</v>
      </c>
      <c r="M177" s="311">
        <f>'d3'!M177-'d3-чистий'!M177</f>
        <v>0</v>
      </c>
      <c r="N177" s="311">
        <f>'d3'!N177-'d3-чистий'!N177</f>
        <v>0</v>
      </c>
      <c r="O177" s="311">
        <f>'d3'!O177-'d3-чистий'!O177</f>
        <v>0</v>
      </c>
      <c r="P177" s="311">
        <f>'d3'!P177-'d3-чистий'!P177</f>
        <v>0</v>
      </c>
    </row>
    <row r="178" spans="1:16" ht="91.5" x14ac:dyDescent="0.2">
      <c r="A178" s="394" t="s">
        <v>386</v>
      </c>
      <c r="B178" s="394" t="s">
        <v>387</v>
      </c>
      <c r="C178" s="394" t="s">
        <v>250</v>
      </c>
      <c r="D178" s="394" t="s">
        <v>385</v>
      </c>
      <c r="E178" s="311">
        <f>'d3'!E178-'d3-чистий'!E178</f>
        <v>0</v>
      </c>
      <c r="F178" s="311">
        <f>'d3'!F178-'d3-чистий'!F178</f>
        <v>0</v>
      </c>
      <c r="G178" s="311">
        <f>'d3'!G178-'d3-чистий'!G178</f>
        <v>0</v>
      </c>
      <c r="H178" s="311">
        <f>'d3'!H178-'d3-чистий'!H178</f>
        <v>0</v>
      </c>
      <c r="I178" s="311">
        <f>'d3'!I178-'d3-чистий'!I178</f>
        <v>0</v>
      </c>
      <c r="J178" s="311">
        <f>'d3'!J178-'d3-чистий'!J178</f>
        <v>0</v>
      </c>
      <c r="K178" s="311">
        <f>'d3'!K178-'d3-чистий'!K178</f>
        <v>0</v>
      </c>
      <c r="L178" s="311">
        <f>'d3'!L178-'d3-чистий'!L178</f>
        <v>0</v>
      </c>
      <c r="M178" s="311">
        <f>'d3'!M178-'d3-чистий'!M178</f>
        <v>0</v>
      </c>
      <c r="N178" s="311">
        <f>'d3'!N178-'d3-чистий'!N178</f>
        <v>0</v>
      </c>
      <c r="O178" s="311">
        <f>'d3'!O178-'d3-чистий'!O178</f>
        <v>0</v>
      </c>
      <c r="P178" s="311">
        <f>'d3'!P178-'d3-чистий'!P178</f>
        <v>0</v>
      </c>
    </row>
    <row r="179" spans="1:16" ht="91.5" x14ac:dyDescent="0.2">
      <c r="A179" s="394" t="s">
        <v>886</v>
      </c>
      <c r="B179" s="394" t="s">
        <v>587</v>
      </c>
      <c r="C179" s="394" t="s">
        <v>71</v>
      </c>
      <c r="D179" s="394" t="s">
        <v>588</v>
      </c>
      <c r="E179" s="311">
        <f>'d3'!E179-'d3-чистий'!E179</f>
        <v>0</v>
      </c>
      <c r="F179" s="311">
        <f>'d3'!F179-'d3-чистий'!F179</f>
        <v>0</v>
      </c>
      <c r="G179" s="311">
        <f>'d3'!G179-'d3-чистий'!G179</f>
        <v>0</v>
      </c>
      <c r="H179" s="311">
        <f>'d3'!H179-'d3-чистий'!H179</f>
        <v>0</v>
      </c>
      <c r="I179" s="311">
        <f>'d3'!I179-'d3-чистий'!I179</f>
        <v>0</v>
      </c>
      <c r="J179" s="311">
        <f>'d3'!J179-'d3-чистий'!J179</f>
        <v>0</v>
      </c>
      <c r="K179" s="311">
        <f>'d3'!K179-'d3-чистий'!K179</f>
        <v>0</v>
      </c>
      <c r="L179" s="311">
        <f>'d3'!L179-'d3-чистий'!L179</f>
        <v>0</v>
      </c>
      <c r="M179" s="311">
        <f>'d3'!M179-'d3-чистий'!M179</f>
        <v>0</v>
      </c>
      <c r="N179" s="311">
        <f>'d3'!N179-'d3-чистий'!N179</f>
        <v>0</v>
      </c>
      <c r="O179" s="311">
        <f>'d3'!O179-'d3-чистий'!O179</f>
        <v>0</v>
      </c>
      <c r="P179" s="311">
        <f>'d3'!P179-'d3-чистий'!P179</f>
        <v>0</v>
      </c>
    </row>
    <row r="180" spans="1:16" ht="180" x14ac:dyDescent="0.2">
      <c r="A180" s="327" t="s">
        <v>244</v>
      </c>
      <c r="B180" s="327"/>
      <c r="C180" s="327"/>
      <c r="D180" s="328" t="s">
        <v>47</v>
      </c>
      <c r="E180" s="329">
        <f>E181</f>
        <v>91500</v>
      </c>
      <c r="F180" s="329">
        <f t="shared" ref="F180:G180" si="57">F181</f>
        <v>91500</v>
      </c>
      <c r="G180" s="329">
        <f t="shared" si="57"/>
        <v>136500</v>
      </c>
      <c r="H180" s="329">
        <f>H181</f>
        <v>-45000</v>
      </c>
      <c r="I180" s="329">
        <f t="shared" ref="I180" si="58">I181</f>
        <v>0</v>
      </c>
      <c r="J180" s="329">
        <f>J181</f>
        <v>0</v>
      </c>
      <c r="K180" s="329">
        <f>K181</f>
        <v>0</v>
      </c>
      <c r="L180" s="329">
        <f>L181</f>
        <v>-136800</v>
      </c>
      <c r="M180" s="329">
        <f t="shared" ref="M180" si="59">M181</f>
        <v>0</v>
      </c>
      <c r="N180" s="329">
        <f>N181</f>
        <v>0</v>
      </c>
      <c r="O180" s="329">
        <f>O181</f>
        <v>136800</v>
      </c>
      <c r="P180" s="329">
        <f t="shared" ref="P180" si="60">P181</f>
        <v>91500</v>
      </c>
    </row>
    <row r="181" spans="1:16" ht="180" x14ac:dyDescent="0.2">
      <c r="A181" s="324" t="s">
        <v>245</v>
      </c>
      <c r="B181" s="324"/>
      <c r="C181" s="324"/>
      <c r="D181" s="325" t="s">
        <v>65</v>
      </c>
      <c r="E181" s="326">
        <f t="shared" ref="E181:N181" si="61">SUM(E182:E186)</f>
        <v>91500</v>
      </c>
      <c r="F181" s="326">
        <f t="shared" si="61"/>
        <v>91500</v>
      </c>
      <c r="G181" s="326">
        <f t="shared" si="61"/>
        <v>136500</v>
      </c>
      <c r="H181" s="326">
        <f t="shared" si="61"/>
        <v>-45000</v>
      </c>
      <c r="I181" s="326">
        <f t="shared" si="61"/>
        <v>0</v>
      </c>
      <c r="J181" s="326">
        <f t="shared" ref="J181" si="62">L181+O181</f>
        <v>0</v>
      </c>
      <c r="K181" s="326">
        <f t="shared" si="61"/>
        <v>0</v>
      </c>
      <c r="L181" s="326">
        <f t="shared" si="61"/>
        <v>-136800</v>
      </c>
      <c r="M181" s="326">
        <f t="shared" si="61"/>
        <v>0</v>
      </c>
      <c r="N181" s="326">
        <f t="shared" si="61"/>
        <v>0</v>
      </c>
      <c r="O181" s="326">
        <f>SUM(O182:O186)</f>
        <v>136800</v>
      </c>
      <c r="P181" s="326">
        <f t="shared" ref="P181" si="63">E181+J181</f>
        <v>91500</v>
      </c>
    </row>
    <row r="182" spans="1:16" ht="228.75" x14ac:dyDescent="0.2">
      <c r="A182" s="394" t="s">
        <v>718</v>
      </c>
      <c r="B182" s="394" t="s">
        <v>335</v>
      </c>
      <c r="C182" s="394" t="s">
        <v>333</v>
      </c>
      <c r="D182" s="394" t="s">
        <v>334</v>
      </c>
      <c r="E182" s="249">
        <f>'d3'!E182-'d3-чистий'!E182</f>
        <v>91500</v>
      </c>
      <c r="F182" s="249">
        <f>'d3'!F182-'d3-чистий'!F182</f>
        <v>91500</v>
      </c>
      <c r="G182" s="249">
        <f>'d3'!G182-'d3-чистий'!G182</f>
        <v>136500</v>
      </c>
      <c r="H182" s="249">
        <f>'d3'!H182-'d3-чистий'!H182</f>
        <v>-45000</v>
      </c>
      <c r="I182" s="249">
        <f>'d3'!I182-'d3-чистий'!I182</f>
        <v>0</v>
      </c>
      <c r="J182" s="249">
        <f>'d3'!J182-'d3-чистий'!J182</f>
        <v>0</v>
      </c>
      <c r="K182" s="249">
        <f>'d3'!K182-'d3-чистий'!K182</f>
        <v>0</v>
      </c>
      <c r="L182" s="249">
        <f>'d3'!L182-'d3-чистий'!L182</f>
        <v>0</v>
      </c>
      <c r="M182" s="249">
        <f>'d3'!M182-'d3-чистий'!M182</f>
        <v>0</v>
      </c>
      <c r="N182" s="249">
        <f>'d3'!N182-'d3-чистий'!N182</f>
        <v>0</v>
      </c>
      <c r="O182" s="249">
        <f>'d3'!O182-'d3-чистий'!O182</f>
        <v>0</v>
      </c>
      <c r="P182" s="249">
        <f>'d3'!P182-'d3-чистий'!P182</f>
        <v>91500</v>
      </c>
    </row>
    <row r="183" spans="1:16" ht="137.25" x14ac:dyDescent="0.2">
      <c r="A183" s="394" t="s">
        <v>457</v>
      </c>
      <c r="B183" s="394" t="s">
        <v>458</v>
      </c>
      <c r="C183" s="394" t="s">
        <v>81</v>
      </c>
      <c r="D183" s="394" t="s">
        <v>82</v>
      </c>
      <c r="E183" s="249">
        <f>'d3'!E183-'d3-чистий'!E183</f>
        <v>0</v>
      </c>
      <c r="F183" s="249">
        <f>'d3'!F183-'d3-чистий'!F183</f>
        <v>0</v>
      </c>
      <c r="G183" s="249">
        <f>'d3'!G183-'d3-чистий'!G183</f>
        <v>0</v>
      </c>
      <c r="H183" s="249">
        <f>'d3'!H183-'d3-чистий'!H183</f>
        <v>0</v>
      </c>
      <c r="I183" s="249">
        <f>'d3'!I183-'d3-чистий'!I183</f>
        <v>0</v>
      </c>
      <c r="J183" s="249">
        <f>'d3'!J183-'d3-чистий'!J183</f>
        <v>-116000</v>
      </c>
      <c r="K183" s="249">
        <f>'d3'!K183-'d3-чистий'!K183</f>
        <v>0</v>
      </c>
      <c r="L183" s="249">
        <f>'d3'!L183-'d3-чистий'!L183</f>
        <v>-116000</v>
      </c>
      <c r="M183" s="249">
        <f>'d3'!M183-'d3-чистий'!M183</f>
        <v>0</v>
      </c>
      <c r="N183" s="249">
        <f>'d3'!N183-'d3-чистий'!N183</f>
        <v>0</v>
      </c>
      <c r="O183" s="249">
        <f>'d3'!O183-'d3-чистий'!O183</f>
        <v>0</v>
      </c>
      <c r="P183" s="249">
        <f>'d3'!P183-'d3-чистий'!P183</f>
        <v>-116000</v>
      </c>
    </row>
    <row r="184" spans="1:16" ht="70.5" customHeight="1" x14ac:dyDescent="0.2">
      <c r="A184" s="382" t="s">
        <v>994</v>
      </c>
      <c r="B184" s="382" t="s">
        <v>995</v>
      </c>
      <c r="C184" s="383" t="s">
        <v>996</v>
      </c>
      <c r="D184" s="394" t="s">
        <v>998</v>
      </c>
      <c r="E184" s="249">
        <f>'d3'!E184-0</f>
        <v>0</v>
      </c>
      <c r="F184" s="249">
        <f>'d3'!F184-0</f>
        <v>0</v>
      </c>
      <c r="G184" s="249">
        <f>'d3'!G184-0</f>
        <v>0</v>
      </c>
      <c r="H184" s="249">
        <f>'d3'!H184-0</f>
        <v>0</v>
      </c>
      <c r="I184" s="249">
        <f>'d3'!I184-0</f>
        <v>0</v>
      </c>
      <c r="J184" s="249">
        <f>'d3'!J184-0</f>
        <v>136800</v>
      </c>
      <c r="K184" s="249">
        <f>'d3'!K184-0</f>
        <v>0</v>
      </c>
      <c r="L184" s="249">
        <f>'d3'!L184-0</f>
        <v>0</v>
      </c>
      <c r="M184" s="249">
        <f>'d3'!M184-0</f>
        <v>0</v>
      </c>
      <c r="N184" s="249">
        <f>'d3'!N184-0</f>
        <v>0</v>
      </c>
      <c r="O184" s="249">
        <f>'d3'!O184-0</f>
        <v>136800</v>
      </c>
      <c r="P184" s="249">
        <f>'d3'!P184-0</f>
        <v>136800</v>
      </c>
    </row>
    <row r="185" spans="1:16" ht="91.5" x14ac:dyDescent="0.2">
      <c r="A185" s="394" t="s">
        <v>794</v>
      </c>
      <c r="B185" s="394" t="s">
        <v>795</v>
      </c>
      <c r="C185" s="394" t="s">
        <v>817</v>
      </c>
      <c r="D185" s="394" t="s">
        <v>816</v>
      </c>
      <c r="E185" s="249">
        <f>'d3'!E185-'d3-чистий'!E184</f>
        <v>0</v>
      </c>
      <c r="F185" s="249">
        <f>'d3'!F185-'d3-чистий'!F184</f>
        <v>0</v>
      </c>
      <c r="G185" s="249">
        <f>'d3'!G185-'d3-чистий'!G184</f>
        <v>0</v>
      </c>
      <c r="H185" s="249">
        <f>'d3'!H185-'d3-чистий'!H184</f>
        <v>0</v>
      </c>
      <c r="I185" s="249">
        <f>'d3'!I185-'d3-чистий'!I184</f>
        <v>0</v>
      </c>
      <c r="J185" s="249">
        <f>'d3'!J185-'d3-чистий'!J184</f>
        <v>0</v>
      </c>
      <c r="K185" s="249">
        <f>'d3'!K185-'d3-чистий'!K184</f>
        <v>0</v>
      </c>
      <c r="L185" s="249">
        <f>'d3'!L185-'d3-чистий'!L184</f>
        <v>0</v>
      </c>
      <c r="M185" s="249">
        <f>'d3'!M185-'d3-чистий'!M184</f>
        <v>0</v>
      </c>
      <c r="N185" s="249">
        <f>'d3'!N185-'d3-чистий'!N184</f>
        <v>0</v>
      </c>
      <c r="O185" s="249">
        <f>'d3'!O185-'d3-чистий'!O184</f>
        <v>0</v>
      </c>
      <c r="P185" s="249">
        <f>'d3'!P185-'d3-чистий'!P184</f>
        <v>0</v>
      </c>
    </row>
    <row r="186" spans="1:16" ht="91.5" x14ac:dyDescent="0.2">
      <c r="A186" s="394" t="s">
        <v>459</v>
      </c>
      <c r="B186" s="394" t="s">
        <v>460</v>
      </c>
      <c r="C186" s="394" t="s">
        <v>83</v>
      </c>
      <c r="D186" s="394" t="s">
        <v>461</v>
      </c>
      <c r="E186" s="249">
        <f>'d3'!E186-'d3-чистий'!E185</f>
        <v>0</v>
      </c>
      <c r="F186" s="249">
        <f>'d3'!F186-'d3-чистий'!F185</f>
        <v>0</v>
      </c>
      <c r="G186" s="249">
        <f>'d3'!G186-'d3-чистий'!G185</f>
        <v>0</v>
      </c>
      <c r="H186" s="249">
        <f>'d3'!H186-'d3-чистий'!H185</f>
        <v>0</v>
      </c>
      <c r="I186" s="249">
        <f>'d3'!I186-'d3-чистий'!I185</f>
        <v>0</v>
      </c>
      <c r="J186" s="249">
        <f>'d3'!J186-'d3-чистий'!J185</f>
        <v>-20800</v>
      </c>
      <c r="K186" s="249">
        <f>'d3'!K186-'d3-чистий'!K185</f>
        <v>0</v>
      </c>
      <c r="L186" s="249">
        <f>'d3'!L186-'d3-чистий'!L185</f>
        <v>-20800</v>
      </c>
      <c r="M186" s="249">
        <f>'d3'!M186-'d3-чистий'!M185</f>
        <v>0</v>
      </c>
      <c r="N186" s="249">
        <f>'d3'!N186-'d3-чистий'!N185</f>
        <v>0</v>
      </c>
      <c r="O186" s="249">
        <f>'d3'!O186-'d3-чистий'!O185</f>
        <v>0</v>
      </c>
      <c r="P186" s="249">
        <f>'d3'!P186-'d3-чистий'!P185</f>
        <v>-20800</v>
      </c>
    </row>
    <row r="187" spans="1:16" ht="315" x14ac:dyDescent="0.2">
      <c r="A187" s="327" t="s">
        <v>242</v>
      </c>
      <c r="B187" s="327"/>
      <c r="C187" s="327"/>
      <c r="D187" s="328" t="s">
        <v>565</v>
      </c>
      <c r="E187" s="329">
        <f>E188</f>
        <v>-676700</v>
      </c>
      <c r="F187" s="329">
        <f t="shared" ref="F187:G187" si="64">F188</f>
        <v>-676700</v>
      </c>
      <c r="G187" s="329">
        <f t="shared" si="64"/>
        <v>-607600</v>
      </c>
      <c r="H187" s="329">
        <f>H188</f>
        <v>0</v>
      </c>
      <c r="I187" s="329">
        <f t="shared" ref="I187" si="65">I188</f>
        <v>0</v>
      </c>
      <c r="J187" s="329">
        <f>J188</f>
        <v>-174000</v>
      </c>
      <c r="K187" s="329">
        <f>K188</f>
        <v>-174000</v>
      </c>
      <c r="L187" s="329">
        <f>L188</f>
        <v>0</v>
      </c>
      <c r="M187" s="329">
        <f t="shared" ref="M187" si="66">M188</f>
        <v>0</v>
      </c>
      <c r="N187" s="329">
        <f>N188</f>
        <v>0</v>
      </c>
      <c r="O187" s="329">
        <f>O188</f>
        <v>-174000</v>
      </c>
      <c r="P187" s="329">
        <f t="shared" ref="P187" si="67">P188</f>
        <v>-850700</v>
      </c>
    </row>
    <row r="188" spans="1:16" ht="315" x14ac:dyDescent="0.2">
      <c r="A188" s="324" t="s">
        <v>243</v>
      </c>
      <c r="B188" s="324"/>
      <c r="C188" s="324"/>
      <c r="D188" s="325" t="s">
        <v>566</v>
      </c>
      <c r="E188" s="326">
        <f>SUM(E189:E191)</f>
        <v>-676700</v>
      </c>
      <c r="F188" s="326">
        <f t="shared" ref="F188:N188" si="68">SUM(F189:F191)</f>
        <v>-676700</v>
      </c>
      <c r="G188" s="326">
        <f t="shared" si="68"/>
        <v>-607600</v>
      </c>
      <c r="H188" s="326">
        <f t="shared" si="68"/>
        <v>0</v>
      </c>
      <c r="I188" s="326">
        <f t="shared" si="68"/>
        <v>0</v>
      </c>
      <c r="J188" s="326">
        <f>L188+O188</f>
        <v>-174000</v>
      </c>
      <c r="K188" s="326">
        <f t="shared" si="68"/>
        <v>-174000</v>
      </c>
      <c r="L188" s="326">
        <f t="shared" si="68"/>
        <v>0</v>
      </c>
      <c r="M188" s="326">
        <f t="shared" si="68"/>
        <v>0</v>
      </c>
      <c r="N188" s="326">
        <f t="shared" si="68"/>
        <v>0</v>
      </c>
      <c r="O188" s="326">
        <f>SUM(O189:O191)</f>
        <v>-174000</v>
      </c>
      <c r="P188" s="326">
        <f>E188+J188</f>
        <v>-850700</v>
      </c>
    </row>
    <row r="189" spans="1:16" ht="228.75" x14ac:dyDescent="0.2">
      <c r="A189" s="394" t="s">
        <v>714</v>
      </c>
      <c r="B189" s="394" t="s">
        <v>335</v>
      </c>
      <c r="C189" s="394" t="s">
        <v>333</v>
      </c>
      <c r="D189" s="394" t="s">
        <v>334</v>
      </c>
      <c r="E189" s="249">
        <f>'d3'!E189-'d3-чистий'!E188</f>
        <v>-676700</v>
      </c>
      <c r="F189" s="249">
        <f>'d3'!F189-'d3-чистий'!F188</f>
        <v>-676700</v>
      </c>
      <c r="G189" s="249">
        <f>'d3'!G189-'d3-чистий'!G188</f>
        <v>-607600</v>
      </c>
      <c r="H189" s="249">
        <f>'d3'!H189-'d3-чистий'!H188</f>
        <v>0</v>
      </c>
      <c r="I189" s="249">
        <f>'d3'!I189-'d3-чистий'!I188</f>
        <v>0</v>
      </c>
      <c r="J189" s="249">
        <f>'d3'!J189-'d3-чистий'!J188</f>
        <v>0</v>
      </c>
      <c r="K189" s="249">
        <f>'d3'!K189-'d3-чистий'!K188</f>
        <v>0</v>
      </c>
      <c r="L189" s="249">
        <f>'d3'!L189-'d3-чистий'!L188</f>
        <v>0</v>
      </c>
      <c r="M189" s="249">
        <f>'d3'!M189-'d3-чистий'!M188</f>
        <v>0</v>
      </c>
      <c r="N189" s="249">
        <f>'d3'!N189-'d3-чистий'!N188</f>
        <v>0</v>
      </c>
      <c r="O189" s="249">
        <f>'d3'!O189-'d3-чистий'!O188</f>
        <v>0</v>
      </c>
      <c r="P189" s="249">
        <f>'d3'!P189-'d3-чистий'!P188</f>
        <v>-676700</v>
      </c>
    </row>
    <row r="190" spans="1:16" ht="91.5" x14ac:dyDescent="0.2">
      <c r="A190" s="394" t="s">
        <v>451</v>
      </c>
      <c r="B190" s="394" t="s">
        <v>452</v>
      </c>
      <c r="C190" s="394" t="s">
        <v>453</v>
      </c>
      <c r="D190" s="394" t="s">
        <v>450</v>
      </c>
      <c r="E190" s="249">
        <f>'d3'!E190-'d3-чистий'!E189</f>
        <v>0</v>
      </c>
      <c r="F190" s="249">
        <f>'d3'!F190-'d3-чистий'!F189</f>
        <v>0</v>
      </c>
      <c r="G190" s="249">
        <f>'d3'!G190-'d3-чистий'!G189</f>
        <v>0</v>
      </c>
      <c r="H190" s="249">
        <f>'d3'!H190-'d3-чистий'!H189</f>
        <v>0</v>
      </c>
      <c r="I190" s="249">
        <f>'d3'!I190-'d3-чистий'!I189</f>
        <v>0</v>
      </c>
      <c r="J190" s="249">
        <f>'d3'!J190-'d3-чистий'!J189</f>
        <v>-174000</v>
      </c>
      <c r="K190" s="249">
        <f>'d3'!K190-'d3-чистий'!K189</f>
        <v>-174000</v>
      </c>
      <c r="L190" s="249">
        <f>'d3'!L190-'d3-чистий'!L189</f>
        <v>0</v>
      </c>
      <c r="M190" s="249">
        <f>'d3'!M190-'d3-чистий'!M189</f>
        <v>0</v>
      </c>
      <c r="N190" s="249">
        <f>'d3'!N190-'d3-чистий'!N189</f>
        <v>0</v>
      </c>
      <c r="O190" s="249">
        <f>'d3'!O190-'d3-чистий'!O189</f>
        <v>-174000</v>
      </c>
      <c r="P190" s="249">
        <f>'d3'!P190-'d3-чистий'!P189</f>
        <v>-174000</v>
      </c>
    </row>
    <row r="191" spans="1:16" ht="137.25" x14ac:dyDescent="0.2">
      <c r="A191" s="394" t="s">
        <v>595</v>
      </c>
      <c r="B191" s="394" t="s">
        <v>596</v>
      </c>
      <c r="C191" s="394" t="s">
        <v>250</v>
      </c>
      <c r="D191" s="394" t="s">
        <v>597</v>
      </c>
      <c r="E191" s="249">
        <f>'d3'!E191-'d3-чистий'!E190</f>
        <v>0</v>
      </c>
      <c r="F191" s="249">
        <f>'d3'!F191-'d3-чистий'!F190</f>
        <v>0</v>
      </c>
      <c r="G191" s="249">
        <f>'d3'!G191-'d3-чистий'!G190</f>
        <v>0</v>
      </c>
      <c r="H191" s="249">
        <f>'d3'!H191-'d3-чистий'!H190</f>
        <v>0</v>
      </c>
      <c r="I191" s="249">
        <f>'d3'!I191-'d3-чистий'!I190</f>
        <v>0</v>
      </c>
      <c r="J191" s="249">
        <f>'d3'!J191-'d3-чистий'!J190</f>
        <v>0</v>
      </c>
      <c r="K191" s="249">
        <f>'d3'!K191-'d3-чистий'!K190</f>
        <v>0</v>
      </c>
      <c r="L191" s="249">
        <f>'d3'!L191-'d3-чистий'!L190</f>
        <v>0</v>
      </c>
      <c r="M191" s="249">
        <f>'d3'!M191-'d3-чистий'!M190</f>
        <v>0</v>
      </c>
      <c r="N191" s="249">
        <f>'d3'!N191-'d3-чистий'!N190</f>
        <v>0</v>
      </c>
      <c r="O191" s="249">
        <f>'d3'!O191-'d3-чистий'!O190</f>
        <v>0</v>
      </c>
      <c r="P191" s="249">
        <f>'d3'!P191-'d3-чистий'!P190</f>
        <v>0</v>
      </c>
    </row>
    <row r="192" spans="1:16" ht="135" x14ac:dyDescent="0.2">
      <c r="A192" s="327" t="s">
        <v>248</v>
      </c>
      <c r="B192" s="327"/>
      <c r="C192" s="327"/>
      <c r="D192" s="328" t="s">
        <v>48</v>
      </c>
      <c r="E192" s="329">
        <f>E193</f>
        <v>-1666500</v>
      </c>
      <c r="F192" s="329">
        <f t="shared" ref="F192:G192" si="69">F193</f>
        <v>-1666500</v>
      </c>
      <c r="G192" s="329">
        <f t="shared" si="69"/>
        <v>-400000</v>
      </c>
      <c r="H192" s="329">
        <f>H193</f>
        <v>-30000</v>
      </c>
      <c r="I192" s="329">
        <f t="shared" ref="I192" si="70">I193</f>
        <v>0</v>
      </c>
      <c r="J192" s="329">
        <f>J193</f>
        <v>0</v>
      </c>
      <c r="K192" s="329">
        <f>K193</f>
        <v>0</v>
      </c>
      <c r="L192" s="329">
        <f>L193</f>
        <v>0</v>
      </c>
      <c r="M192" s="329">
        <f t="shared" ref="M192" si="71">M193</f>
        <v>0</v>
      </c>
      <c r="N192" s="329">
        <f>N193</f>
        <v>0</v>
      </c>
      <c r="O192" s="329">
        <f>O193</f>
        <v>0</v>
      </c>
      <c r="P192" s="329">
        <f t="shared" ref="P192" si="72">P193</f>
        <v>-1666500</v>
      </c>
    </row>
    <row r="193" spans="1:16" ht="135" x14ac:dyDescent="0.2">
      <c r="A193" s="324" t="s">
        <v>249</v>
      </c>
      <c r="B193" s="324"/>
      <c r="C193" s="324"/>
      <c r="D193" s="325" t="s">
        <v>66</v>
      </c>
      <c r="E193" s="326">
        <f>SUM(E194:E197)</f>
        <v>-1666500</v>
      </c>
      <c r="F193" s="326">
        <f t="shared" ref="F193:N193" si="73">SUM(F194:F197)</f>
        <v>-1666500</v>
      </c>
      <c r="G193" s="326">
        <f t="shared" si="73"/>
        <v>-400000</v>
      </c>
      <c r="H193" s="326">
        <f t="shared" si="73"/>
        <v>-30000</v>
      </c>
      <c r="I193" s="326">
        <f t="shared" si="73"/>
        <v>0</v>
      </c>
      <c r="J193" s="326">
        <f>L193+O193</f>
        <v>0</v>
      </c>
      <c r="K193" s="326">
        <f>SUM(K194:K197)</f>
        <v>0</v>
      </c>
      <c r="L193" s="326">
        <f t="shared" si="73"/>
        <v>0</v>
      </c>
      <c r="M193" s="326">
        <f t="shared" si="73"/>
        <v>0</v>
      </c>
      <c r="N193" s="326">
        <f t="shared" si="73"/>
        <v>0</v>
      </c>
      <c r="O193" s="326">
        <f>SUM(O194:O197)</f>
        <v>0</v>
      </c>
      <c r="P193" s="326">
        <f>E193+J193</f>
        <v>-1666500</v>
      </c>
    </row>
    <row r="194" spans="1:16" ht="228.75" x14ac:dyDescent="0.2">
      <c r="A194" s="394" t="s">
        <v>716</v>
      </c>
      <c r="B194" s="394" t="s">
        <v>335</v>
      </c>
      <c r="C194" s="394" t="s">
        <v>333</v>
      </c>
      <c r="D194" s="394" t="s">
        <v>334</v>
      </c>
      <c r="E194" s="249">
        <f>'d3'!E194-'d3-чистий'!E193</f>
        <v>-604000</v>
      </c>
      <c r="F194" s="249">
        <f>'d3'!F194-'d3-чистий'!F193</f>
        <v>-604000</v>
      </c>
      <c r="G194" s="249">
        <f>'d3'!G194-'d3-чистий'!G193</f>
        <v>-400000</v>
      </c>
      <c r="H194" s="249">
        <f>'d3'!H194-'d3-чистий'!H193</f>
        <v>-30000</v>
      </c>
      <c r="I194" s="249">
        <f>'d3'!I194-'d3-чистий'!I193</f>
        <v>0</v>
      </c>
      <c r="J194" s="249">
        <f>'d3'!J194-'d3-чистий'!J193</f>
        <v>0</v>
      </c>
      <c r="K194" s="249">
        <f>'d3'!K194-'d3-чистий'!K193</f>
        <v>0</v>
      </c>
      <c r="L194" s="249">
        <f>'d3'!L194-'d3-чистий'!L193</f>
        <v>0</v>
      </c>
      <c r="M194" s="249">
        <f>'d3'!M194-'d3-чистий'!M193</f>
        <v>0</v>
      </c>
      <c r="N194" s="249">
        <f>'d3'!N194-'d3-чистий'!N193</f>
        <v>0</v>
      </c>
      <c r="O194" s="249">
        <f>'d3'!O194-'d3-чистий'!O193</f>
        <v>0</v>
      </c>
      <c r="P194" s="249">
        <f>'d3'!P194-'d3-чистий'!P193</f>
        <v>-604000</v>
      </c>
    </row>
    <row r="195" spans="1:16" ht="91.5" x14ac:dyDescent="0.2">
      <c r="A195" s="250">
        <v>3718600</v>
      </c>
      <c r="B195" s="250">
        <v>8600</v>
      </c>
      <c r="C195" s="394" t="s">
        <v>575</v>
      </c>
      <c r="D195" s="250" t="s">
        <v>576</v>
      </c>
      <c r="E195" s="249">
        <f>'d3'!E195-'d3-чистий'!E194</f>
        <v>-1062500</v>
      </c>
      <c r="F195" s="249">
        <f>'d3'!F195-'d3-чистий'!F194</f>
        <v>-1062500</v>
      </c>
      <c r="G195" s="249">
        <f>'d3'!G195-'d3-чистий'!G194</f>
        <v>0</v>
      </c>
      <c r="H195" s="249">
        <f>'d3'!H195-'d3-чистий'!H194</f>
        <v>0</v>
      </c>
      <c r="I195" s="249">
        <f>'d3'!I195-'d3-чистий'!I194</f>
        <v>0</v>
      </c>
      <c r="J195" s="249">
        <f>'d3'!J195-'d3-чистий'!J194</f>
        <v>0</v>
      </c>
      <c r="K195" s="249">
        <f>'d3'!K195-'d3-чистий'!K194</f>
        <v>0</v>
      </c>
      <c r="L195" s="249">
        <f>'d3'!L195-'d3-чистий'!L194</f>
        <v>0</v>
      </c>
      <c r="M195" s="249">
        <f>'d3'!M195-'d3-чистий'!M194</f>
        <v>0</v>
      </c>
      <c r="N195" s="249">
        <f>'d3'!N195-'d3-чистий'!N194</f>
        <v>0</v>
      </c>
      <c r="O195" s="249">
        <f>'d3'!O195-'d3-чистий'!O194</f>
        <v>0</v>
      </c>
      <c r="P195" s="249">
        <f>'d3'!P195-'d3-чистий'!P194</f>
        <v>-1062500</v>
      </c>
    </row>
    <row r="196" spans="1:16" ht="69" customHeight="1" x14ac:dyDescent="0.2">
      <c r="A196" s="250">
        <v>3718700</v>
      </c>
      <c r="B196" s="250">
        <v>8700</v>
      </c>
      <c r="C196" s="394" t="s">
        <v>70</v>
      </c>
      <c r="D196" s="269" t="s">
        <v>68</v>
      </c>
      <c r="E196" s="249">
        <f>'d3'!E196-'d3-чистий'!E195</f>
        <v>0</v>
      </c>
      <c r="F196" s="249">
        <f>'d3'!F196-'d3-чистий'!F195</f>
        <v>0</v>
      </c>
      <c r="G196" s="249">
        <f>'d3'!G196-'d3-чистий'!G195</f>
        <v>0</v>
      </c>
      <c r="H196" s="249">
        <f>'d3'!H196-'d3-чистий'!H195</f>
        <v>0</v>
      </c>
      <c r="I196" s="249">
        <f>'d3'!I196-'d3-чистий'!I195</f>
        <v>0</v>
      </c>
      <c r="J196" s="249">
        <f>'d3'!J196-'d3-чистий'!J195</f>
        <v>0</v>
      </c>
      <c r="K196" s="249">
        <f>'d3'!K196-'d3-чистий'!K195</f>
        <v>0</v>
      </c>
      <c r="L196" s="249">
        <f>'d3'!L196-'d3-чистий'!L195</f>
        <v>0</v>
      </c>
      <c r="M196" s="249">
        <f>'d3'!M196-'d3-чистий'!M195</f>
        <v>0</v>
      </c>
      <c r="N196" s="249">
        <f>'d3'!N196-'d3-чистий'!N195</f>
        <v>0</v>
      </c>
      <c r="O196" s="249">
        <f>'d3'!O196-'d3-чистий'!O195</f>
        <v>0</v>
      </c>
      <c r="P196" s="249">
        <f>'d3'!P196-'d3-чистий'!P195</f>
        <v>0</v>
      </c>
    </row>
    <row r="197" spans="1:16" ht="65.25" customHeight="1" x14ac:dyDescent="0.2">
      <c r="A197" s="250">
        <v>3719110</v>
      </c>
      <c r="B197" s="250">
        <v>9110</v>
      </c>
      <c r="C197" s="394" t="s">
        <v>71</v>
      </c>
      <c r="D197" s="269" t="s">
        <v>69</v>
      </c>
      <c r="E197" s="249">
        <f>'d3'!E197-'d3-чистий'!E196</f>
        <v>0</v>
      </c>
      <c r="F197" s="249">
        <f>'d3'!F197-'d3-чистий'!F196</f>
        <v>0</v>
      </c>
      <c r="G197" s="249">
        <f>'d3'!G197-'d3-чистий'!G196</f>
        <v>0</v>
      </c>
      <c r="H197" s="249">
        <f>'d3'!H197-'d3-чистий'!H196</f>
        <v>0</v>
      </c>
      <c r="I197" s="249">
        <f>'d3'!I197-'d3-чистий'!I196</f>
        <v>0</v>
      </c>
      <c r="J197" s="249">
        <f>'d3'!J197-'d3-чистий'!J196</f>
        <v>0</v>
      </c>
      <c r="K197" s="249">
        <f>'d3'!K197-'d3-чистий'!K196</f>
        <v>0</v>
      </c>
      <c r="L197" s="249">
        <f>'d3'!L197-'d3-чистий'!L196</f>
        <v>0</v>
      </c>
      <c r="M197" s="249">
        <f>'d3'!M197-'d3-чистий'!M196</f>
        <v>0</v>
      </c>
      <c r="N197" s="249">
        <f>'d3'!N197-'d3-чистий'!N196</f>
        <v>0</v>
      </c>
      <c r="O197" s="249">
        <f>'d3'!O197-'d3-чистий'!O196</f>
        <v>0</v>
      </c>
      <c r="P197" s="249">
        <f>'d3'!P197-'d3-чистий'!P196</f>
        <v>0</v>
      </c>
    </row>
    <row r="198" spans="1:16" ht="111.75" customHeight="1" x14ac:dyDescent="0.2">
      <c r="A198" s="330" t="s">
        <v>633</v>
      </c>
      <c r="B198" s="330" t="s">
        <v>633</v>
      </c>
      <c r="C198" s="330" t="s">
        <v>633</v>
      </c>
      <c r="D198" s="331" t="s">
        <v>649</v>
      </c>
      <c r="E198" s="332">
        <f>E14+E26+E122+E40+E54+E112+E138+E160+E169+E193+E174+E181+E188</f>
        <v>5978093</v>
      </c>
      <c r="F198" s="332">
        <f>F14+F26+F122+F40+F53+F112+F138+F160+F169+F193+F174+F181+F188</f>
        <v>5978093</v>
      </c>
      <c r="G198" s="332">
        <f t="shared" ref="G198:O198" si="74">G14+G26+G122+G40+G54+G112+G138+G160+G169+G193+G174+G181+G188</f>
        <v>4905984</v>
      </c>
      <c r="H198" s="332">
        <f>H14+H26+H122+H40+H54+H112+H138+H160+H169+H193+H174+H181+H188</f>
        <v>-6204423</v>
      </c>
      <c r="I198" s="332">
        <f t="shared" si="74"/>
        <v>0</v>
      </c>
      <c r="J198" s="332">
        <f t="shared" si="74"/>
        <v>-3841727</v>
      </c>
      <c r="K198" s="332">
        <f t="shared" si="74"/>
        <v>-3841727</v>
      </c>
      <c r="L198" s="332">
        <f t="shared" si="74"/>
        <v>-136800</v>
      </c>
      <c r="M198" s="332">
        <f t="shared" si="74"/>
        <v>0</v>
      </c>
      <c r="N198" s="332">
        <f t="shared" si="74"/>
        <v>-15000</v>
      </c>
      <c r="O198" s="332">
        <f t="shared" si="74"/>
        <v>-3704927</v>
      </c>
      <c r="P198" s="332">
        <f>P14+P26+P122+P40+P53+P112+P138+P160+P169+P193+P174+P181+P188</f>
        <v>2136366</v>
      </c>
    </row>
    <row r="199" spans="1:16" ht="30" x14ac:dyDescent="0.2">
      <c r="A199" s="510" t="s">
        <v>448</v>
      </c>
      <c r="B199" s="511"/>
      <c r="C199" s="511"/>
      <c r="D199" s="511"/>
      <c r="E199" s="511"/>
      <c r="F199" s="511"/>
      <c r="G199" s="511"/>
      <c r="H199" s="511"/>
      <c r="I199" s="511"/>
      <c r="J199" s="511"/>
      <c r="K199" s="511"/>
      <c r="L199" s="511"/>
      <c r="M199" s="511"/>
      <c r="N199" s="511"/>
      <c r="O199" s="511"/>
      <c r="P199" s="511"/>
    </row>
    <row r="200" spans="1:16" ht="60.75" x14ac:dyDescent="0.2">
      <c r="D200" s="10"/>
      <c r="E200" s="145"/>
      <c r="F200" s="243"/>
      <c r="G200" s="23"/>
      <c r="I200" s="10"/>
      <c r="J200" s="145"/>
      <c r="K200" s="145"/>
      <c r="O200" s="145"/>
      <c r="P200" s="114"/>
    </row>
    <row r="201" spans="1:16" ht="60.75" x14ac:dyDescent="0.2">
      <c r="A201" s="384"/>
      <c r="B201" s="384"/>
      <c r="C201" s="384"/>
      <c r="D201" s="10"/>
      <c r="E201" s="145"/>
      <c r="F201" s="128"/>
      <c r="G201" s="3"/>
      <c r="I201" s="10"/>
      <c r="J201" s="145"/>
      <c r="K201" s="145"/>
      <c r="L201" s="384"/>
      <c r="M201" s="384"/>
      <c r="N201" s="384"/>
      <c r="O201" s="145"/>
      <c r="P201" s="114"/>
    </row>
    <row r="202" spans="1:16" ht="60.75" x14ac:dyDescent="0.2">
      <c r="D202" s="10"/>
      <c r="E202" s="145"/>
      <c r="F202" s="177"/>
      <c r="O202" s="114"/>
      <c r="P202" s="114"/>
    </row>
    <row r="203" spans="1:16" ht="60.75" x14ac:dyDescent="0.2">
      <c r="A203" s="384"/>
      <c r="B203" s="384"/>
      <c r="C203" s="384"/>
      <c r="D203" s="10"/>
      <c r="E203" s="145"/>
      <c r="F203" s="128"/>
      <c r="G203" s="3"/>
      <c r="J203" s="4"/>
      <c r="K203" s="4"/>
      <c r="L203" s="384"/>
      <c r="M203" s="384"/>
      <c r="N203" s="384"/>
      <c r="O203" s="384"/>
      <c r="P203" s="114"/>
    </row>
    <row r="204" spans="1:16" ht="62.25" x14ac:dyDescent="0.8">
      <c r="A204" s="384"/>
      <c r="B204" s="384"/>
      <c r="C204" s="384"/>
      <c r="D204" s="384"/>
      <c r="E204" s="21"/>
      <c r="F204" s="128"/>
      <c r="J204" s="4"/>
      <c r="K204" s="4"/>
      <c r="L204" s="384"/>
      <c r="M204" s="384"/>
      <c r="N204" s="384"/>
      <c r="O204" s="384"/>
      <c r="P204" s="151"/>
    </row>
    <row r="205" spans="1:16" ht="45.75" x14ac:dyDescent="0.2">
      <c r="E205" s="22"/>
      <c r="F205" s="177"/>
    </row>
    <row r="206" spans="1:16" ht="45.75" x14ac:dyDescent="0.2">
      <c r="A206" s="384"/>
      <c r="B206" s="384"/>
      <c r="C206" s="384"/>
      <c r="D206" s="384"/>
      <c r="E206" s="21"/>
      <c r="F206" s="128"/>
      <c r="L206" s="384"/>
      <c r="M206" s="384"/>
      <c r="N206" s="384"/>
      <c r="O206" s="384"/>
      <c r="P206" s="384"/>
    </row>
    <row r="207" spans="1:16" ht="45.75" x14ac:dyDescent="0.2">
      <c r="E207" s="22"/>
      <c r="F207" s="177"/>
    </row>
    <row r="208" spans="1:16" ht="45.75" x14ac:dyDescent="0.2">
      <c r="E208" s="22"/>
      <c r="F208" s="177"/>
    </row>
    <row r="209" spans="1:16" ht="45.75" x14ac:dyDescent="0.2">
      <c r="E209" s="22"/>
      <c r="F209" s="177"/>
    </row>
    <row r="210" spans="1:16" ht="45.75" x14ac:dyDescent="0.2">
      <c r="A210" s="384"/>
      <c r="B210" s="384"/>
      <c r="C210" s="384"/>
      <c r="D210" s="384"/>
      <c r="E210" s="22"/>
      <c r="F210" s="177"/>
      <c r="G210" s="384"/>
      <c r="H210" s="384"/>
      <c r="I210" s="384"/>
      <c r="J210" s="384"/>
      <c r="K210" s="384"/>
      <c r="L210" s="384"/>
      <c r="M210" s="384"/>
      <c r="N210" s="384"/>
      <c r="O210" s="384"/>
      <c r="P210" s="384"/>
    </row>
    <row r="211" spans="1:16" ht="45.75" x14ac:dyDescent="0.2">
      <c r="A211" s="384"/>
      <c r="B211" s="384"/>
      <c r="C211" s="384"/>
      <c r="D211" s="384"/>
      <c r="E211" s="22"/>
      <c r="F211" s="177"/>
      <c r="G211" s="384"/>
      <c r="H211" s="384"/>
      <c r="I211" s="384"/>
      <c r="J211" s="384"/>
      <c r="K211" s="384"/>
      <c r="L211" s="384"/>
      <c r="M211" s="384"/>
      <c r="N211" s="384"/>
      <c r="O211" s="384"/>
      <c r="P211" s="384"/>
    </row>
    <row r="212" spans="1:16" ht="45.75" x14ac:dyDescent="0.2">
      <c r="A212" s="384"/>
      <c r="B212" s="384"/>
      <c r="C212" s="384"/>
      <c r="D212" s="384"/>
      <c r="E212" s="22"/>
      <c r="F212" s="177"/>
      <c r="G212" s="384"/>
      <c r="H212" s="384"/>
      <c r="I212" s="384"/>
      <c r="J212" s="384"/>
      <c r="K212" s="384"/>
      <c r="L212" s="384"/>
      <c r="M212" s="384"/>
      <c r="N212" s="384"/>
      <c r="O212" s="384"/>
      <c r="P212" s="384"/>
    </row>
    <row r="213" spans="1:16" ht="45.75" x14ac:dyDescent="0.2">
      <c r="A213" s="384"/>
      <c r="B213" s="384"/>
      <c r="C213" s="384"/>
      <c r="D213" s="384"/>
      <c r="E213" s="22"/>
      <c r="F213" s="177"/>
      <c r="G213" s="384"/>
      <c r="H213" s="384"/>
      <c r="I213" s="384"/>
      <c r="J213" s="384"/>
      <c r="K213" s="384"/>
      <c r="L213" s="384"/>
      <c r="M213" s="384"/>
      <c r="N213" s="384"/>
      <c r="O213" s="384"/>
      <c r="P213" s="384"/>
    </row>
  </sheetData>
  <mergeCells count="142">
    <mergeCell ref="N2:P2"/>
    <mergeCell ref="N3:P3"/>
    <mergeCell ref="O4:P4"/>
    <mergeCell ref="A6:P6"/>
    <mergeCell ref="A7:P7"/>
    <mergeCell ref="A9:A11"/>
    <mergeCell ref="B9:B11"/>
    <mergeCell ref="C9:C11"/>
    <mergeCell ref="D9:D11"/>
    <mergeCell ref="E9:I9"/>
    <mergeCell ref="J9:O9"/>
    <mergeCell ref="P9:P11"/>
    <mergeCell ref="E10:E11"/>
    <mergeCell ref="F10:F11"/>
    <mergeCell ref="G10:H10"/>
    <mergeCell ref="I10:I11"/>
    <mergeCell ref="J10:J11"/>
    <mergeCell ref="K10:K11"/>
    <mergeCell ref="L10:L11"/>
    <mergeCell ref="M10:N10"/>
    <mergeCell ref="A19:A20"/>
    <mergeCell ref="B19:B20"/>
    <mergeCell ref="C19:C20"/>
    <mergeCell ref="E19:E20"/>
    <mergeCell ref="F19:F20"/>
    <mergeCell ref="G19:G20"/>
    <mergeCell ref="H19:H20"/>
    <mergeCell ref="I19:I20"/>
    <mergeCell ref="J19:J20"/>
    <mergeCell ref="K19:K20"/>
    <mergeCell ref="L19:L20"/>
    <mergeCell ref="M19:M20"/>
    <mergeCell ref="N19:N20"/>
    <mergeCell ref="O19:O20"/>
    <mergeCell ref="P19:P20"/>
    <mergeCell ref="O10:O11"/>
    <mergeCell ref="K91:K93"/>
    <mergeCell ref="L91:L93"/>
    <mergeCell ref="M91:M93"/>
    <mergeCell ref="N91:N93"/>
    <mergeCell ref="O79:O80"/>
    <mergeCell ref="P79:P80"/>
    <mergeCell ref="O91:O93"/>
    <mergeCell ref="P91:P93"/>
    <mergeCell ref="A79:A80"/>
    <mergeCell ref="B79:B80"/>
    <mergeCell ref="C79:C80"/>
    <mergeCell ref="E79:E80"/>
    <mergeCell ref="F79:F80"/>
    <mergeCell ref="G79:G80"/>
    <mergeCell ref="A91:A93"/>
    <mergeCell ref="B91:B93"/>
    <mergeCell ref="C91:C93"/>
    <mergeCell ref="E91:E93"/>
    <mergeCell ref="F91:F93"/>
    <mergeCell ref="G91:G93"/>
    <mergeCell ref="E94:E97"/>
    <mergeCell ref="F94:F97"/>
    <mergeCell ref="G94:G97"/>
    <mergeCell ref="H94:H97"/>
    <mergeCell ref="I98:I100"/>
    <mergeCell ref="J98:J100"/>
    <mergeCell ref="I91:I93"/>
    <mergeCell ref="J91:J93"/>
    <mergeCell ref="N79:N80"/>
    <mergeCell ref="J79:J80"/>
    <mergeCell ref="K79:K80"/>
    <mergeCell ref="L79:L80"/>
    <mergeCell ref="M79:M80"/>
    <mergeCell ref="H91:H93"/>
    <mergeCell ref="H79:H80"/>
    <mergeCell ref="I79:I80"/>
    <mergeCell ref="O94:O97"/>
    <mergeCell ref="P94:P97"/>
    <mergeCell ref="A98:A100"/>
    <mergeCell ref="B98:B100"/>
    <mergeCell ref="C98:C100"/>
    <mergeCell ref="E98:E100"/>
    <mergeCell ref="F98:F100"/>
    <mergeCell ref="G98:G100"/>
    <mergeCell ref="H98:H100"/>
    <mergeCell ref="I94:I97"/>
    <mergeCell ref="J94:J97"/>
    <mergeCell ref="K94:K97"/>
    <mergeCell ref="L94:L97"/>
    <mergeCell ref="M94:M97"/>
    <mergeCell ref="N94:N97"/>
    <mergeCell ref="O98:O100"/>
    <mergeCell ref="P98:P100"/>
    <mergeCell ref="K98:K100"/>
    <mergeCell ref="N98:N100"/>
    <mergeCell ref="L98:L100"/>
    <mergeCell ref="M98:M100"/>
    <mergeCell ref="A94:A97"/>
    <mergeCell ref="B94:B97"/>
    <mergeCell ref="C94:C97"/>
    <mergeCell ref="O101:O103"/>
    <mergeCell ref="P101:P103"/>
    <mergeCell ref="A109:A110"/>
    <mergeCell ref="B109:B110"/>
    <mergeCell ref="C109:C110"/>
    <mergeCell ref="E109:E110"/>
    <mergeCell ref="F109:F110"/>
    <mergeCell ref="G109:G110"/>
    <mergeCell ref="H109:H110"/>
    <mergeCell ref="I109:I110"/>
    <mergeCell ref="I101:I103"/>
    <mergeCell ref="J101:J103"/>
    <mergeCell ref="K101:K103"/>
    <mergeCell ref="L101:L103"/>
    <mergeCell ref="M101:M103"/>
    <mergeCell ref="N101:N103"/>
    <mergeCell ref="A101:A103"/>
    <mergeCell ref="B101:B103"/>
    <mergeCell ref="C101:C103"/>
    <mergeCell ref="E101:E103"/>
    <mergeCell ref="F101:F103"/>
    <mergeCell ref="G101:G103"/>
    <mergeCell ref="H101:H103"/>
    <mergeCell ref="A199:P199"/>
    <mergeCell ref="K156:K157"/>
    <mergeCell ref="L156:L157"/>
    <mergeCell ref="M156:M157"/>
    <mergeCell ref="N156:N157"/>
    <mergeCell ref="O156:O157"/>
    <mergeCell ref="P156:P157"/>
    <mergeCell ref="P109:P110"/>
    <mergeCell ref="A156:A157"/>
    <mergeCell ref="B156:B157"/>
    <mergeCell ref="C156:C157"/>
    <mergeCell ref="E156:E157"/>
    <mergeCell ref="F156:F157"/>
    <mergeCell ref="G156:G157"/>
    <mergeCell ref="H156:H157"/>
    <mergeCell ref="I156:I157"/>
    <mergeCell ref="J156:J157"/>
    <mergeCell ref="J109:J110"/>
    <mergeCell ref="K109:K110"/>
    <mergeCell ref="L109:L110"/>
    <mergeCell ref="M109:M110"/>
    <mergeCell ref="N109:N110"/>
    <mergeCell ref="O109:O110"/>
  </mergeCells>
  <pageMargins left="0.23622047244094491" right="0.27559055118110237" top="0.27559055118110237" bottom="0.15748031496062992" header="0.23622047244094491" footer="0.27559055118110237"/>
  <pageSetup paperSize="9" scale="15" fitToHeight="0" orientation="landscape" r:id="rId1"/>
  <headerFooter alignWithMargins="0">
    <oddFooter>&amp;C&amp;"Times New Roman Cyr,курсив"Сторінка &amp;P з &amp;N</oddFooter>
  </headerFooter>
  <rowBreaks count="3" manualBreakCount="3">
    <brk id="28" max="15" man="1"/>
    <brk id="48" max="15" man="1"/>
    <brk id="69"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218"/>
  <sheetViews>
    <sheetView view="pageBreakPreview" topLeftCell="E1" zoomScale="25" zoomScaleNormal="25" zoomScaleSheetLayoutView="25" zoomScalePageLayoutView="10" workbookViewId="0">
      <pane ySplit="12" topLeftCell="A168" activePane="bottomLeft" state="frozen"/>
      <selection activeCell="K153" sqref="K153"/>
      <selection pane="bottomLeft" activeCell="A7" sqref="A7:P7"/>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66.42578125" style="5" customWidth="1"/>
    <col min="6" max="6" width="58.5703125" style="1" customWidth="1"/>
    <col min="7" max="7" width="55.42578125" style="1" customWidth="1"/>
    <col min="8" max="8" width="48.140625" style="1" customWidth="1"/>
    <col min="9" max="9" width="41.85546875" style="1" customWidth="1"/>
    <col min="10" max="10" width="50.5703125" style="5" customWidth="1"/>
    <col min="11" max="11" width="52.5703125" style="5" customWidth="1"/>
    <col min="12" max="12" width="56.140625" style="1" customWidth="1"/>
    <col min="13" max="13" width="54.85546875" style="1" customWidth="1"/>
    <col min="14" max="14" width="45.28515625" style="1" bestFit="1" customWidth="1"/>
    <col min="15" max="15" width="56.140625" style="1" bestFit="1" customWidth="1"/>
    <col min="16" max="16" width="86.28515625" style="5" customWidth="1"/>
    <col min="17" max="17" width="52.140625" style="300" customWidth="1"/>
    <col min="18" max="18" width="66.42578125" style="300" bestFit="1" customWidth="1"/>
    <col min="19" max="19" width="9.140625" style="300"/>
    <col min="20" max="20" width="24.7109375" style="300" bestFit="1" customWidth="1"/>
    <col min="21" max="16384" width="9.140625" style="300"/>
  </cols>
  <sheetData>
    <row r="2" spans="1:18" ht="45.75" x14ac:dyDescent="0.2">
      <c r="D2" s="308"/>
      <c r="E2" s="309"/>
      <c r="F2" s="307"/>
      <c r="G2" s="309"/>
      <c r="H2" s="309"/>
      <c r="I2" s="309"/>
      <c r="J2" s="309"/>
      <c r="K2" s="309"/>
      <c r="L2" s="309"/>
      <c r="M2" s="309"/>
      <c r="N2" s="470" t="s">
        <v>89</v>
      </c>
      <c r="O2" s="458"/>
      <c r="P2" s="458"/>
      <c r="Q2" s="458"/>
    </row>
    <row r="3" spans="1:18" ht="45.75" x14ac:dyDescent="0.2">
      <c r="A3" s="308"/>
      <c r="B3" s="308"/>
      <c r="C3" s="308"/>
      <c r="D3" s="308"/>
      <c r="E3" s="309"/>
      <c r="F3" s="307"/>
      <c r="G3" s="309"/>
      <c r="H3" s="309"/>
      <c r="I3" s="309"/>
      <c r="J3" s="309"/>
      <c r="K3" s="309"/>
      <c r="L3" s="309"/>
      <c r="M3" s="309"/>
      <c r="N3" s="470" t="s">
        <v>1025</v>
      </c>
      <c r="O3" s="471"/>
      <c r="P3" s="471"/>
      <c r="Q3" s="471"/>
    </row>
    <row r="4" spans="1:18" ht="40.700000000000003" customHeight="1" x14ac:dyDescent="0.2">
      <c r="A4" s="308"/>
      <c r="B4" s="308"/>
      <c r="C4" s="308"/>
      <c r="D4" s="308"/>
      <c r="E4" s="309"/>
      <c r="F4" s="307"/>
      <c r="G4" s="309"/>
      <c r="H4" s="309"/>
      <c r="I4" s="309"/>
      <c r="J4" s="309"/>
      <c r="K4" s="309"/>
      <c r="L4" s="309"/>
      <c r="M4" s="309"/>
      <c r="N4" s="309"/>
      <c r="O4" s="470"/>
      <c r="P4" s="472"/>
    </row>
    <row r="5" spans="1:18" ht="45.75" hidden="1" x14ac:dyDescent="0.2">
      <c r="A5" s="308"/>
      <c r="B5" s="308"/>
      <c r="C5" s="308"/>
      <c r="D5" s="308"/>
      <c r="E5" s="309"/>
      <c r="F5" s="307"/>
      <c r="G5" s="309"/>
      <c r="H5" s="309"/>
      <c r="I5" s="309"/>
      <c r="J5" s="309"/>
      <c r="K5" s="309"/>
      <c r="L5" s="309"/>
      <c r="M5" s="309"/>
      <c r="N5" s="309"/>
      <c r="O5" s="308"/>
      <c r="P5" s="307"/>
    </row>
    <row r="6" spans="1:18" ht="45" x14ac:dyDescent="0.2">
      <c r="A6" s="474" t="s">
        <v>88</v>
      </c>
      <c r="B6" s="474"/>
      <c r="C6" s="474"/>
      <c r="D6" s="474"/>
      <c r="E6" s="474"/>
      <c r="F6" s="474"/>
      <c r="G6" s="474"/>
      <c r="H6" s="474"/>
      <c r="I6" s="474"/>
      <c r="J6" s="474"/>
      <c r="K6" s="474"/>
      <c r="L6" s="474"/>
      <c r="M6" s="474"/>
      <c r="N6" s="474"/>
      <c r="O6" s="474"/>
      <c r="P6" s="474"/>
    </row>
    <row r="7" spans="1:18" ht="45" x14ac:dyDescent="0.2">
      <c r="A7" s="474" t="s">
        <v>639</v>
      </c>
      <c r="B7" s="474"/>
      <c r="C7" s="474"/>
      <c r="D7" s="474"/>
      <c r="E7" s="474"/>
      <c r="F7" s="474"/>
      <c r="G7" s="474"/>
      <c r="H7" s="474"/>
      <c r="I7" s="474"/>
      <c r="J7" s="474"/>
      <c r="K7" s="474"/>
      <c r="L7" s="474"/>
      <c r="M7" s="474"/>
      <c r="N7" s="474"/>
      <c r="O7" s="474"/>
      <c r="P7" s="474"/>
    </row>
    <row r="8" spans="1:18" ht="53.45" customHeight="1" x14ac:dyDescent="0.2">
      <c r="A8" s="309"/>
      <c r="B8" s="309"/>
      <c r="C8" s="309"/>
      <c r="D8" s="309"/>
      <c r="E8" s="309"/>
      <c r="F8" s="307"/>
      <c r="G8" s="309"/>
      <c r="H8" s="309"/>
      <c r="I8" s="309"/>
      <c r="J8" s="309"/>
      <c r="K8" s="309"/>
      <c r="L8" s="309"/>
      <c r="M8" s="309"/>
      <c r="N8" s="309"/>
      <c r="O8" s="309"/>
      <c r="P8" s="10" t="s">
        <v>640</v>
      </c>
    </row>
    <row r="9" spans="1:18" ht="62.45" customHeight="1" x14ac:dyDescent="0.2">
      <c r="A9" s="478" t="s">
        <v>29</v>
      </c>
      <c r="B9" s="478" t="s">
        <v>641</v>
      </c>
      <c r="C9" s="478" t="s">
        <v>648</v>
      </c>
      <c r="D9" s="478" t="s">
        <v>642</v>
      </c>
      <c r="E9" s="473" t="s">
        <v>25</v>
      </c>
      <c r="F9" s="473"/>
      <c r="G9" s="473"/>
      <c r="H9" s="473"/>
      <c r="I9" s="473"/>
      <c r="J9" s="483" t="s">
        <v>84</v>
      </c>
      <c r="K9" s="484"/>
      <c r="L9" s="484"/>
      <c r="M9" s="484"/>
      <c r="N9" s="484"/>
      <c r="O9" s="485"/>
      <c r="P9" s="473" t="s">
        <v>24</v>
      </c>
    </row>
    <row r="10" spans="1:18" ht="255" customHeight="1" x14ac:dyDescent="0.2">
      <c r="A10" s="479"/>
      <c r="B10" s="481"/>
      <c r="C10" s="481"/>
      <c r="D10" s="479"/>
      <c r="E10" s="475" t="s">
        <v>636</v>
      </c>
      <c r="F10" s="475" t="s">
        <v>85</v>
      </c>
      <c r="G10" s="475" t="s">
        <v>26</v>
      </c>
      <c r="H10" s="475"/>
      <c r="I10" s="475" t="s">
        <v>87</v>
      </c>
      <c r="J10" s="475" t="s">
        <v>636</v>
      </c>
      <c r="K10" s="475" t="s">
        <v>637</v>
      </c>
      <c r="L10" s="475" t="s">
        <v>85</v>
      </c>
      <c r="M10" s="475" t="s">
        <v>26</v>
      </c>
      <c r="N10" s="475"/>
      <c r="O10" s="475" t="s">
        <v>87</v>
      </c>
      <c r="P10" s="473"/>
    </row>
    <row r="11" spans="1:18" ht="135" x14ac:dyDescent="0.2">
      <c r="A11" s="480"/>
      <c r="B11" s="480"/>
      <c r="C11" s="480"/>
      <c r="D11" s="480"/>
      <c r="E11" s="475"/>
      <c r="F11" s="475"/>
      <c r="G11" s="310" t="s">
        <v>86</v>
      </c>
      <c r="H11" s="310" t="s">
        <v>28</v>
      </c>
      <c r="I11" s="475"/>
      <c r="J11" s="475"/>
      <c r="K11" s="475"/>
      <c r="L11" s="475"/>
      <c r="M11" s="310" t="s">
        <v>86</v>
      </c>
      <c r="N11" s="310" t="s">
        <v>28</v>
      </c>
      <c r="O11" s="475"/>
      <c r="P11" s="473"/>
    </row>
    <row r="12" spans="1:18" s="2" customFormat="1" ht="111" customHeight="1" x14ac:dyDescent="0.2">
      <c r="A12" s="11" t="s">
        <v>4</v>
      </c>
      <c r="B12" s="11" t="s">
        <v>5</v>
      </c>
      <c r="C12" s="11" t="s">
        <v>27</v>
      </c>
      <c r="D12" s="11" t="s">
        <v>7</v>
      </c>
      <c r="E12" s="11" t="s">
        <v>651</v>
      </c>
      <c r="F12" s="11" t="s">
        <v>652</v>
      </c>
      <c r="G12" s="11" t="s">
        <v>653</v>
      </c>
      <c r="H12" s="11" t="s">
        <v>654</v>
      </c>
      <c r="I12" s="11" t="s">
        <v>655</v>
      </c>
      <c r="J12" s="11" t="s">
        <v>656</v>
      </c>
      <c r="K12" s="11" t="s">
        <v>657</v>
      </c>
      <c r="L12" s="11" t="s">
        <v>658</v>
      </c>
      <c r="M12" s="11" t="s">
        <v>659</v>
      </c>
      <c r="N12" s="11" t="s">
        <v>660</v>
      </c>
      <c r="O12" s="11" t="s">
        <v>661</v>
      </c>
      <c r="P12" s="11" t="s">
        <v>662</v>
      </c>
    </row>
    <row r="13" spans="1:18" s="2" customFormat="1" ht="135" x14ac:dyDescent="0.2">
      <c r="A13" s="258" t="s">
        <v>228</v>
      </c>
      <c r="B13" s="258"/>
      <c r="C13" s="258"/>
      <c r="D13" s="259" t="s">
        <v>230</v>
      </c>
      <c r="E13" s="260">
        <f>E14</f>
        <v>91904512</v>
      </c>
      <c r="F13" s="260">
        <f t="shared" ref="F13:N13" si="0">F14</f>
        <v>91904512</v>
      </c>
      <c r="G13" s="260">
        <f t="shared" si="0"/>
        <v>54985000</v>
      </c>
      <c r="H13" s="260">
        <f t="shared" si="0"/>
        <v>2521600</v>
      </c>
      <c r="I13" s="260">
        <f t="shared" si="0"/>
        <v>0</v>
      </c>
      <c r="J13" s="260">
        <f t="shared" si="0"/>
        <v>12748940.039999999</v>
      </c>
      <c r="K13" s="260">
        <f t="shared" si="0"/>
        <v>9172679</v>
      </c>
      <c r="L13" s="260">
        <f t="shared" si="0"/>
        <v>3546261.04</v>
      </c>
      <c r="M13" s="260">
        <f t="shared" si="0"/>
        <v>0</v>
      </c>
      <c r="N13" s="260">
        <f t="shared" si="0"/>
        <v>0</v>
      </c>
      <c r="O13" s="260">
        <f>O14</f>
        <v>9202679</v>
      </c>
      <c r="P13" s="260">
        <f t="shared" ref="P13" si="1">P14</f>
        <v>104653452.03999999</v>
      </c>
    </row>
    <row r="14" spans="1:18" s="2" customFormat="1" ht="135" x14ac:dyDescent="0.2">
      <c r="A14" s="261" t="s">
        <v>229</v>
      </c>
      <c r="B14" s="261"/>
      <c r="C14" s="261"/>
      <c r="D14" s="262" t="s">
        <v>231</v>
      </c>
      <c r="E14" s="263">
        <f>SUM(E15:E24)</f>
        <v>91904512</v>
      </c>
      <c r="F14" s="263">
        <f t="shared" ref="F14:I14" si="2">SUM(F15:F24)</f>
        <v>91904512</v>
      </c>
      <c r="G14" s="263">
        <f t="shared" si="2"/>
        <v>54985000</v>
      </c>
      <c r="H14" s="263">
        <f t="shared" si="2"/>
        <v>2521600</v>
      </c>
      <c r="I14" s="263">
        <f t="shared" si="2"/>
        <v>0</v>
      </c>
      <c r="J14" s="263">
        <f t="shared" ref="J14:J19" si="3">L14+O14</f>
        <v>12748940.039999999</v>
      </c>
      <c r="K14" s="263">
        <f t="shared" ref="K14:O14" si="4">SUM(K15:K24)</f>
        <v>9172679</v>
      </c>
      <c r="L14" s="263">
        <f t="shared" si="4"/>
        <v>3546261.04</v>
      </c>
      <c r="M14" s="263">
        <f t="shared" si="4"/>
        <v>0</v>
      </c>
      <c r="N14" s="263">
        <f t="shared" si="4"/>
        <v>0</v>
      </c>
      <c r="O14" s="263">
        <f t="shared" si="4"/>
        <v>9202679</v>
      </c>
      <c r="P14" s="263">
        <f>E14+J14</f>
        <v>104653452.03999999</v>
      </c>
      <c r="Q14" s="136" t="b">
        <f>P15+P16+P17+P18+P21+P22+P19+P23+P24=P14</f>
        <v>1</v>
      </c>
      <c r="R14" s="136" t="b">
        <f>K14='d5'!I6</f>
        <v>1</v>
      </c>
    </row>
    <row r="15" spans="1:18" ht="320.25" x14ac:dyDescent="0.2">
      <c r="A15" s="305" t="s">
        <v>331</v>
      </c>
      <c r="B15" s="305" t="s">
        <v>332</v>
      </c>
      <c r="C15" s="305" t="s">
        <v>333</v>
      </c>
      <c r="D15" s="305" t="s">
        <v>330</v>
      </c>
      <c r="E15" s="304">
        <f t="shared" ref="E15:E24" si="5">F15</f>
        <v>79065004</v>
      </c>
      <c r="F15" s="249">
        <f>(79041400)+23604</f>
        <v>79065004</v>
      </c>
      <c r="G15" s="249">
        <v>54985000</v>
      </c>
      <c r="H15" s="249">
        <f>(2510600)+11000</f>
        <v>2521600</v>
      </c>
      <c r="I15" s="249"/>
      <c r="J15" s="304">
        <f t="shared" si="3"/>
        <v>1078500</v>
      </c>
      <c r="K15" s="249">
        <f>((210000)+568500)+300000</f>
        <v>1078500</v>
      </c>
      <c r="L15" s="264"/>
      <c r="M15" s="265"/>
      <c r="N15" s="265"/>
      <c r="O15" s="266">
        <f>K15</f>
        <v>1078500</v>
      </c>
      <c r="P15" s="304">
        <f>+J15+E15</f>
        <v>80143504</v>
      </c>
      <c r="R15" s="136" t="b">
        <f>K15='d5'!I8</f>
        <v>1</v>
      </c>
    </row>
    <row r="16" spans="1:18" ht="91.5" x14ac:dyDescent="0.2">
      <c r="A16" s="305" t="s">
        <v>347</v>
      </c>
      <c r="B16" s="305" t="s">
        <v>71</v>
      </c>
      <c r="C16" s="305" t="s">
        <v>70</v>
      </c>
      <c r="D16" s="305" t="s">
        <v>348</v>
      </c>
      <c r="E16" s="304">
        <f t="shared" si="5"/>
        <v>2305000</v>
      </c>
      <c r="F16" s="311">
        <f>(1305000)+1000000</f>
        <v>2305000</v>
      </c>
      <c r="G16" s="311"/>
      <c r="H16" s="311"/>
      <c r="I16" s="311"/>
      <c r="J16" s="304">
        <f t="shared" si="3"/>
        <v>475727</v>
      </c>
      <c r="K16" s="311">
        <v>475727</v>
      </c>
      <c r="L16" s="311"/>
      <c r="M16" s="311"/>
      <c r="N16" s="311"/>
      <c r="O16" s="266">
        <f>K16</f>
        <v>475727</v>
      </c>
      <c r="P16" s="304">
        <f>E16+J16</f>
        <v>2780727</v>
      </c>
      <c r="R16" s="136"/>
    </row>
    <row r="17" spans="1:20" ht="91.5" x14ac:dyDescent="0.2">
      <c r="A17" s="305" t="s">
        <v>337</v>
      </c>
      <c r="B17" s="305" t="s">
        <v>338</v>
      </c>
      <c r="C17" s="305" t="s">
        <v>339</v>
      </c>
      <c r="D17" s="305" t="s">
        <v>336</v>
      </c>
      <c r="E17" s="304">
        <f t="shared" si="5"/>
        <v>3236400</v>
      </c>
      <c r="F17" s="311">
        <v>3236400</v>
      </c>
      <c r="G17" s="311">
        <f>H17+I17</f>
        <v>0</v>
      </c>
      <c r="H17" s="311"/>
      <c r="I17" s="311"/>
      <c r="J17" s="304">
        <f t="shared" si="3"/>
        <v>3500000</v>
      </c>
      <c r="K17" s="311">
        <f>(1500000)+2000000</f>
        <v>3500000</v>
      </c>
      <c r="L17" s="311"/>
      <c r="M17" s="311"/>
      <c r="N17" s="311"/>
      <c r="O17" s="266">
        <f>K17</f>
        <v>3500000</v>
      </c>
      <c r="P17" s="304">
        <f>+J17+E17</f>
        <v>6736400</v>
      </c>
      <c r="R17" s="136" t="b">
        <f>K17='d5'!I10</f>
        <v>1</v>
      </c>
    </row>
    <row r="18" spans="1:20" ht="137.25" x14ac:dyDescent="0.2">
      <c r="A18" s="305" t="s">
        <v>439</v>
      </c>
      <c r="B18" s="305" t="s">
        <v>440</v>
      </c>
      <c r="C18" s="305" t="s">
        <v>250</v>
      </c>
      <c r="D18" s="301" t="s">
        <v>438</v>
      </c>
      <c r="E18" s="304">
        <f t="shared" si="5"/>
        <v>165000</v>
      </c>
      <c r="F18" s="311">
        <v>165000</v>
      </c>
      <c r="G18" s="311"/>
      <c r="H18" s="311"/>
      <c r="I18" s="311"/>
      <c r="J18" s="304">
        <f t="shared" si="3"/>
        <v>0</v>
      </c>
      <c r="K18" s="311"/>
      <c r="L18" s="311"/>
      <c r="M18" s="311"/>
      <c r="N18" s="311"/>
      <c r="O18" s="266">
        <f>K18</f>
        <v>0</v>
      </c>
      <c r="P18" s="304">
        <f>+J18+E18</f>
        <v>165000</v>
      </c>
      <c r="R18" s="136"/>
    </row>
    <row r="19" spans="1:20" s="118" customFormat="1" ht="409.5" x14ac:dyDescent="0.2">
      <c r="A19" s="476" t="s">
        <v>526</v>
      </c>
      <c r="B19" s="476" t="s">
        <v>525</v>
      </c>
      <c r="C19" s="476" t="s">
        <v>250</v>
      </c>
      <c r="D19" s="267" t="s">
        <v>536</v>
      </c>
      <c r="E19" s="486">
        <f t="shared" si="5"/>
        <v>0</v>
      </c>
      <c r="F19" s="482"/>
      <c r="G19" s="482"/>
      <c r="H19" s="482"/>
      <c r="I19" s="482"/>
      <c r="J19" s="488">
        <f t="shared" si="3"/>
        <v>3576261.04</v>
      </c>
      <c r="K19" s="482"/>
      <c r="L19" s="482">
        <f>((2225100)+643666.04)+543000+134495</f>
        <v>3546261.04</v>
      </c>
      <c r="M19" s="482"/>
      <c r="N19" s="482"/>
      <c r="O19" s="493">
        <f>(K19+50000)-20000</f>
        <v>30000</v>
      </c>
      <c r="P19" s="486">
        <f>E19+J19</f>
        <v>3576261.04</v>
      </c>
      <c r="Q19" s="216">
        <f>P19</f>
        <v>3576261.04</v>
      </c>
    </row>
    <row r="20" spans="1:20" s="118" customFormat="1" ht="137.25" x14ac:dyDescent="0.2">
      <c r="A20" s="477"/>
      <c r="B20" s="477"/>
      <c r="C20" s="477"/>
      <c r="D20" s="268" t="s">
        <v>537</v>
      </c>
      <c r="E20" s="487"/>
      <c r="F20" s="490"/>
      <c r="G20" s="490"/>
      <c r="H20" s="490"/>
      <c r="I20" s="490"/>
      <c r="J20" s="477"/>
      <c r="K20" s="477"/>
      <c r="L20" s="490"/>
      <c r="M20" s="490"/>
      <c r="N20" s="490"/>
      <c r="O20" s="495"/>
      <c r="P20" s="487"/>
    </row>
    <row r="21" spans="1:20" ht="91.5" x14ac:dyDescent="0.2">
      <c r="A21" s="305" t="s">
        <v>340</v>
      </c>
      <c r="B21" s="305" t="s">
        <v>341</v>
      </c>
      <c r="C21" s="305" t="s">
        <v>342</v>
      </c>
      <c r="D21" s="301" t="s">
        <v>343</v>
      </c>
      <c r="E21" s="304">
        <f>F21</f>
        <v>4573000</v>
      </c>
      <c r="F21" s="311">
        <f>((3515000)+130000)+928000</f>
        <v>4573000</v>
      </c>
      <c r="G21" s="311"/>
      <c r="H21" s="311"/>
      <c r="I21" s="311"/>
      <c r="J21" s="304">
        <f>L21+O21</f>
        <v>0</v>
      </c>
      <c r="K21" s="311"/>
      <c r="L21" s="311"/>
      <c r="M21" s="311"/>
      <c r="N21" s="311"/>
      <c r="O21" s="266">
        <f>K21</f>
        <v>0</v>
      </c>
      <c r="P21" s="304">
        <f>E21+J21</f>
        <v>4573000</v>
      </c>
    </row>
    <row r="22" spans="1:20" ht="274.5" x14ac:dyDescent="0.2">
      <c r="A22" s="305" t="s">
        <v>344</v>
      </c>
      <c r="B22" s="305" t="s">
        <v>345</v>
      </c>
      <c r="C22" s="305" t="s">
        <v>71</v>
      </c>
      <c r="D22" s="305" t="s">
        <v>346</v>
      </c>
      <c r="E22" s="304">
        <f t="shared" si="5"/>
        <v>190000</v>
      </c>
      <c r="F22" s="311">
        <v>190000</v>
      </c>
      <c r="G22" s="311"/>
      <c r="H22" s="311"/>
      <c r="I22" s="311"/>
      <c r="J22" s="304">
        <f>L22+O22</f>
        <v>0</v>
      </c>
      <c r="K22" s="311"/>
      <c r="L22" s="311"/>
      <c r="M22" s="311"/>
      <c r="N22" s="311"/>
      <c r="O22" s="266">
        <f>K22</f>
        <v>0</v>
      </c>
      <c r="P22" s="304">
        <f>E22+J22</f>
        <v>190000</v>
      </c>
    </row>
    <row r="23" spans="1:20" ht="91.5" x14ac:dyDescent="0.2">
      <c r="A23" s="305" t="s">
        <v>840</v>
      </c>
      <c r="B23" s="305" t="s">
        <v>587</v>
      </c>
      <c r="C23" s="305" t="s">
        <v>71</v>
      </c>
      <c r="D23" s="305" t="s">
        <v>588</v>
      </c>
      <c r="E23" s="304">
        <f t="shared" si="5"/>
        <v>0</v>
      </c>
      <c r="F23" s="311"/>
      <c r="G23" s="311"/>
      <c r="H23" s="311"/>
      <c r="I23" s="311"/>
      <c r="J23" s="304">
        <f t="shared" ref="J23:J24" si="6">L23+O23</f>
        <v>100000</v>
      </c>
      <c r="K23" s="311">
        <v>100000</v>
      </c>
      <c r="L23" s="311"/>
      <c r="M23" s="311"/>
      <c r="N23" s="311"/>
      <c r="O23" s="266">
        <f t="shared" ref="O23:O24" si="7">K23</f>
        <v>100000</v>
      </c>
      <c r="P23" s="304">
        <f t="shared" ref="P23:P24" si="8">E23+J23</f>
        <v>100000</v>
      </c>
      <c r="R23" s="136" t="b">
        <f>K23='d5'!I11</f>
        <v>1</v>
      </c>
    </row>
    <row r="24" spans="1:20" ht="183" x14ac:dyDescent="0.2">
      <c r="A24" s="305" t="s">
        <v>842</v>
      </c>
      <c r="B24" s="305" t="s">
        <v>843</v>
      </c>
      <c r="C24" s="305" t="s">
        <v>71</v>
      </c>
      <c r="D24" s="305" t="s">
        <v>841</v>
      </c>
      <c r="E24" s="304">
        <f t="shared" si="5"/>
        <v>2370108</v>
      </c>
      <c r="F24" s="311">
        <f>(2170108)+200000</f>
        <v>2370108</v>
      </c>
      <c r="G24" s="311"/>
      <c r="H24" s="311"/>
      <c r="I24" s="311"/>
      <c r="J24" s="304">
        <f t="shared" si="6"/>
        <v>4018452</v>
      </c>
      <c r="K24" s="311">
        <f>(3518452)+500000</f>
        <v>4018452</v>
      </c>
      <c r="L24" s="311"/>
      <c r="M24" s="311"/>
      <c r="N24" s="311"/>
      <c r="O24" s="266">
        <f t="shared" si="7"/>
        <v>4018452</v>
      </c>
      <c r="P24" s="304">
        <f t="shared" si="8"/>
        <v>6388560</v>
      </c>
      <c r="R24" s="136" t="b">
        <f>K24='d5'!I14+'d5'!I12+'d5'!I13</f>
        <v>1</v>
      </c>
    </row>
    <row r="25" spans="1:20" ht="135" x14ac:dyDescent="0.2">
      <c r="A25" s="258" t="s">
        <v>232</v>
      </c>
      <c r="B25" s="258"/>
      <c r="C25" s="258"/>
      <c r="D25" s="259" t="s">
        <v>0</v>
      </c>
      <c r="E25" s="260">
        <f>E26</f>
        <v>1007877605.4</v>
      </c>
      <c r="F25" s="260">
        <f t="shared" ref="F25:G25" si="9">F26</f>
        <v>1007877605.4</v>
      </c>
      <c r="G25" s="260">
        <f t="shared" si="9"/>
        <v>662588424.39999998</v>
      </c>
      <c r="H25" s="260">
        <f>H26</f>
        <v>86949850</v>
      </c>
      <c r="I25" s="260">
        <f t="shared" ref="I25" si="10">I26</f>
        <v>0</v>
      </c>
      <c r="J25" s="260">
        <f>J26</f>
        <v>148238052.03999999</v>
      </c>
      <c r="K25" s="260">
        <f>K26</f>
        <v>43626437.039999999</v>
      </c>
      <c r="L25" s="260">
        <f>L26</f>
        <v>103434212.53</v>
      </c>
      <c r="M25" s="260">
        <f t="shared" ref="M25" si="11">M26</f>
        <v>27935261</v>
      </c>
      <c r="N25" s="260">
        <f>N26</f>
        <v>8624815.4000000004</v>
      </c>
      <c r="O25" s="260">
        <f>O26</f>
        <v>44803839.509999998</v>
      </c>
      <c r="P25" s="260">
        <f t="shared" ref="P25" si="12">P26</f>
        <v>1156115657.4400001</v>
      </c>
    </row>
    <row r="26" spans="1:20" ht="135" x14ac:dyDescent="0.2">
      <c r="A26" s="261" t="s">
        <v>233</v>
      </c>
      <c r="B26" s="261"/>
      <c r="C26" s="261"/>
      <c r="D26" s="262" t="s">
        <v>1</v>
      </c>
      <c r="E26" s="263">
        <f>SUM(E27:E37)</f>
        <v>1007877605.4</v>
      </c>
      <c r="F26" s="263">
        <f>SUM(F27:F37)</f>
        <v>1007877605.4</v>
      </c>
      <c r="G26" s="263">
        <f>SUM(G27:G37)</f>
        <v>662588424.39999998</v>
      </c>
      <c r="H26" s="263">
        <f>SUM(H27:H37)</f>
        <v>86949850</v>
      </c>
      <c r="I26" s="263">
        <f>SUM(I27:I37)</f>
        <v>0</v>
      </c>
      <c r="J26" s="263">
        <f>L26+O26</f>
        <v>148238052.03999999</v>
      </c>
      <c r="K26" s="263">
        <f>SUM(K27:K37)</f>
        <v>43626437.039999999</v>
      </c>
      <c r="L26" s="263">
        <f>SUM(L27:L37)</f>
        <v>103434212.53</v>
      </c>
      <c r="M26" s="263">
        <f>SUM(M27:M37)</f>
        <v>27935261</v>
      </c>
      <c r="N26" s="263">
        <f>SUM(N27:N37)</f>
        <v>8624815.4000000004</v>
      </c>
      <c r="O26" s="263">
        <f>SUM(O27:O37)</f>
        <v>44803839.509999998</v>
      </c>
      <c r="P26" s="263">
        <f t="shared" ref="P26:P37" si="13">E26+J26</f>
        <v>1156115657.4400001</v>
      </c>
      <c r="Q26" s="136" t="b">
        <f>P26=P27+P28+P29+P30+P31+P32+P33+P34+P36+P35+P37</f>
        <v>1</v>
      </c>
      <c r="R26" s="136" t="b">
        <f>K26='d5'!I16</f>
        <v>0</v>
      </c>
    </row>
    <row r="27" spans="1:20" ht="46.5" x14ac:dyDescent="0.6">
      <c r="A27" s="305" t="s">
        <v>288</v>
      </c>
      <c r="B27" s="305" t="s">
        <v>289</v>
      </c>
      <c r="C27" s="305" t="s">
        <v>291</v>
      </c>
      <c r="D27" s="305" t="s">
        <v>292</v>
      </c>
      <c r="E27" s="304">
        <f>F27</f>
        <v>281084390</v>
      </c>
      <c r="F27" s="311">
        <f>((165508870+36411952+4442800+121320+24563500+1338350+273720+18519120+1241048+6540100+35500+100000)+4545735+913000)+3274731+3051220+890796+496030+8642500+22300+208820+12652+36000+10000+25000+2384000+346000-3000000+26483+102843</f>
        <v>281084390</v>
      </c>
      <c r="G27" s="311">
        <f>((165508870)+1966600+748360)+2684206+2501008+730163+406580+7160000</f>
        <v>181705787</v>
      </c>
      <c r="H27" s="311">
        <f>(26559008)+2384000+346000</f>
        <v>29289008</v>
      </c>
      <c r="I27" s="311"/>
      <c r="J27" s="304">
        <f t="shared" ref="J27:J35" si="14">L27+O27</f>
        <v>46544366</v>
      </c>
      <c r="K27" s="311">
        <f>(6653272)-500000+400000-292260+265777-295360+192517</f>
        <v>6423946</v>
      </c>
      <c r="L27" s="311">
        <f>39787420+197651+50465-10440-105090-7730-2000</f>
        <v>39910276</v>
      </c>
      <c r="M27" s="311">
        <f>(7603840)+197651</f>
        <v>7801491</v>
      </c>
      <c r="N27" s="311">
        <v>876470.92</v>
      </c>
      <c r="O27" s="266">
        <f>(K27+333000)-122856</f>
        <v>6634090</v>
      </c>
      <c r="P27" s="304">
        <f t="shared" si="13"/>
        <v>327628756</v>
      </c>
      <c r="Q27" s="14"/>
      <c r="R27" s="232" t="b">
        <f>K27='d5'!I17</f>
        <v>0</v>
      </c>
    </row>
    <row r="28" spans="1:20" ht="366" x14ac:dyDescent="0.55000000000000004">
      <c r="A28" s="305" t="s">
        <v>294</v>
      </c>
      <c r="B28" s="305" t="s">
        <v>290</v>
      </c>
      <c r="C28" s="305" t="s">
        <v>295</v>
      </c>
      <c r="D28" s="305" t="s">
        <v>612</v>
      </c>
      <c r="E28" s="304">
        <f t="shared" ref="E28:E33" si="15">F28</f>
        <v>559997228.39999998</v>
      </c>
      <c r="F28" s="311">
        <f>(566488460.4)+144832+139690+41202+384700-7068800+88000+57100+19234+72226+10000+26254+121000+166800+300000+100000+300000+178313+199999-3500000+648000-68114+17500-116668+290193+295000-178313+150000+3156560-1893940-572000</f>
        <v>559997228.39999998</v>
      </c>
      <c r="G28" s="311">
        <f>((377515910+1668354)+4047428.4)+118715+114502+33768+315300-5032600-95628</f>
        <v>378685749.39999998</v>
      </c>
      <c r="H28" s="311">
        <f>(42397676)-3500000+648000-572000</f>
        <v>38973676</v>
      </c>
      <c r="I28" s="311"/>
      <c r="J28" s="304">
        <f t="shared" si="14"/>
        <v>70734028.039999992</v>
      </c>
      <c r="K28" s="311">
        <f>(22878252.04)-280000+1000000+100000+360000+1751862+68114-17500+3156560+120000-360000-3156560+1893940-228000+1500000</f>
        <v>28786668.039999999</v>
      </c>
      <c r="L28" s="311">
        <f>(41102910)-24983+139930+21929-79100-6000-6900-5780-8000-20300+61117</f>
        <v>41174823</v>
      </c>
      <c r="M28" s="311">
        <f>(13732800)+139930</f>
        <v>13872730</v>
      </c>
      <c r="N28" s="311">
        <f>(1026847.35)+1308.68</f>
        <v>1028156.03</v>
      </c>
      <c r="O28" s="266">
        <f>(K28+844450+24983)-35779-61117</f>
        <v>29559205.039999999</v>
      </c>
      <c r="P28" s="304">
        <f t="shared" si="13"/>
        <v>630731256.43999994</v>
      </c>
      <c r="Q28" s="14"/>
      <c r="R28" s="136" t="b">
        <f>K28='d5'!I18+'d5'!I19+'d5'!I20+'d5'!I21+'d5'!I24+'d5'!I23+'d5'!I22</f>
        <v>0</v>
      </c>
      <c r="T28" s="108"/>
    </row>
    <row r="29" spans="1:20" ht="366" x14ac:dyDescent="0.2">
      <c r="A29" s="305" t="s">
        <v>298</v>
      </c>
      <c r="B29" s="305" t="s">
        <v>297</v>
      </c>
      <c r="C29" s="305" t="s">
        <v>299</v>
      </c>
      <c r="D29" s="305" t="s">
        <v>32</v>
      </c>
      <c r="E29" s="304">
        <f t="shared" si="15"/>
        <v>16762878</v>
      </c>
      <c r="F29" s="311">
        <f>((11987275+2637201+297700+3970+635400+74400+12000+1090080+19380+107800+5400+5000)+8400+14040)+16474+15860+3402+20048-211200+200+20048</f>
        <v>16762878</v>
      </c>
      <c r="G29" s="311">
        <f>(11987275)+13503+13005+2785+16430+20500+16430</f>
        <v>12069928</v>
      </c>
      <c r="H29" s="311">
        <v>1223374</v>
      </c>
      <c r="I29" s="311"/>
      <c r="J29" s="304">
        <f t="shared" si="14"/>
        <v>89000</v>
      </c>
      <c r="K29" s="311">
        <f>(9000)+30000</f>
        <v>39000</v>
      </c>
      <c r="L29" s="311">
        <v>50000</v>
      </c>
      <c r="M29" s="311"/>
      <c r="N29" s="311">
        <v>29628</v>
      </c>
      <c r="O29" s="266">
        <f>K29</f>
        <v>39000</v>
      </c>
      <c r="P29" s="304">
        <f t="shared" si="13"/>
        <v>16851878</v>
      </c>
      <c r="R29" s="136" t="b">
        <f>K29='d5'!I25</f>
        <v>1</v>
      </c>
    </row>
    <row r="30" spans="1:20" ht="183" x14ac:dyDescent="0.2">
      <c r="A30" s="305" t="s">
        <v>300</v>
      </c>
      <c r="B30" s="305" t="s">
        <v>281</v>
      </c>
      <c r="C30" s="305" t="s">
        <v>269</v>
      </c>
      <c r="D30" s="305" t="s">
        <v>33</v>
      </c>
      <c r="E30" s="304">
        <f t="shared" si="15"/>
        <v>29471313</v>
      </c>
      <c r="F30" s="311">
        <f>((19190813+4221979+572200+13650+0+820000+23640+304700+1254870+46020+589810+263715+3840+30500+200)+400078)+492898+500400+742000</f>
        <v>29471313</v>
      </c>
      <c r="G30" s="311">
        <f>(19190813)+404015+509100</f>
        <v>20103928</v>
      </c>
      <c r="H30" s="311">
        <f>(2186576)+742000</f>
        <v>2928576</v>
      </c>
      <c r="I30" s="311"/>
      <c r="J30" s="304">
        <f t="shared" si="14"/>
        <v>8951670</v>
      </c>
      <c r="K30" s="311">
        <f>((18000+2000000+300000)+300000+60000)+1500000+60000</f>
        <v>4238000</v>
      </c>
      <c r="L30" s="311">
        <f>(4579670)+35000+8000-13000</f>
        <v>4609670</v>
      </c>
      <c r="M30" s="311">
        <f>(1037200)+35000</f>
        <v>1072200</v>
      </c>
      <c r="N30" s="311">
        <v>366037.45</v>
      </c>
      <c r="O30" s="266">
        <f>(K30+134000)-30000</f>
        <v>4342000</v>
      </c>
      <c r="P30" s="304">
        <f t="shared" si="13"/>
        <v>38422983</v>
      </c>
      <c r="R30" s="136" t="b">
        <f>K30='d5'!I26+'d5'!I27</f>
        <v>1</v>
      </c>
    </row>
    <row r="31" spans="1:20" ht="137.25" x14ac:dyDescent="0.2">
      <c r="A31" s="305" t="s">
        <v>301</v>
      </c>
      <c r="B31" s="305" t="s">
        <v>302</v>
      </c>
      <c r="C31" s="305" t="s">
        <v>303</v>
      </c>
      <c r="D31" s="305" t="s">
        <v>304</v>
      </c>
      <c r="E31" s="304">
        <f t="shared" si="15"/>
        <v>96519104</v>
      </c>
      <c r="F31" s="311">
        <f>((55361620+12179557+98200+14420+3078726+14900+65640+8051698+582633+3183200+1360000+15250000+502876)+427000)+726388-2319488-2000000-58266</f>
        <v>96519104</v>
      </c>
      <c r="G31" s="311">
        <f>(55361620)+595400-1557388</f>
        <v>54399632</v>
      </c>
      <c r="H31" s="311">
        <f>(13186731)+427000-58266</f>
        <v>13555465</v>
      </c>
      <c r="I31" s="311"/>
      <c r="J31" s="304">
        <f>L31+O31</f>
        <v>17652608</v>
      </c>
      <c r="K31" s="311">
        <f>(216557)+58266</f>
        <v>274823</v>
      </c>
      <c r="L31" s="311">
        <f>(15728160-15000)-14521.47-15200-46000+1649625</f>
        <v>17287063.530000001</v>
      </c>
      <c r="M31" s="311">
        <f>(4054000)+935200</f>
        <v>4989200</v>
      </c>
      <c r="N31" s="311">
        <f>(6022813)+36000+69000+13000+180300</f>
        <v>6321113</v>
      </c>
      <c r="O31" s="266">
        <f>(K31+15000)+29721.47+46000</f>
        <v>365544.47</v>
      </c>
      <c r="P31" s="304">
        <f t="shared" si="13"/>
        <v>114171712</v>
      </c>
      <c r="R31" s="136" t="b">
        <f>K31='d5'!I28+'d5'!I29</f>
        <v>0</v>
      </c>
    </row>
    <row r="32" spans="1:20" ht="91.5" x14ac:dyDescent="0.2">
      <c r="A32" s="305" t="s">
        <v>306</v>
      </c>
      <c r="B32" s="305" t="s">
        <v>307</v>
      </c>
      <c r="C32" s="305" t="s">
        <v>308</v>
      </c>
      <c r="D32" s="305" t="s">
        <v>305</v>
      </c>
      <c r="E32" s="304">
        <f t="shared" si="15"/>
        <v>4618170</v>
      </c>
      <c r="F32" s="311">
        <f>((3056197+672364+210900+430000+3120+40000+126900+4845+57140+400+2500)+168622)+51282-206100</f>
        <v>4618170</v>
      </c>
      <c r="G32" s="311">
        <f>(3056197)+42034-158800</f>
        <v>2939431</v>
      </c>
      <c r="H32" s="311">
        <v>192737</v>
      </c>
      <c r="I32" s="311"/>
      <c r="J32" s="304">
        <f t="shared" si="14"/>
        <v>73740</v>
      </c>
      <c r="K32" s="311"/>
      <c r="L32" s="311">
        <v>73740</v>
      </c>
      <c r="M32" s="311"/>
      <c r="N32" s="311"/>
      <c r="O32" s="266">
        <f t="shared" ref="O32:O37" si="16">K32</f>
        <v>0</v>
      </c>
      <c r="P32" s="304">
        <f t="shared" si="13"/>
        <v>4691910</v>
      </c>
      <c r="R32" s="136"/>
    </row>
    <row r="33" spans="1:18" s="118" customFormat="1" ht="91.5" x14ac:dyDescent="0.2">
      <c r="A33" s="301" t="s">
        <v>491</v>
      </c>
      <c r="B33" s="301" t="s">
        <v>492</v>
      </c>
      <c r="C33" s="301" t="s">
        <v>308</v>
      </c>
      <c r="D33" s="301" t="s">
        <v>490</v>
      </c>
      <c r="E33" s="304">
        <f t="shared" si="15"/>
        <v>15312740</v>
      </c>
      <c r="F33" s="311">
        <f>((11912850+2620827+577800+1200+362900+12480+440620+8475+262150+2705+4360+400+3840+1416600)-1905368)+121901-598000+67000</f>
        <v>15312740</v>
      </c>
      <c r="G33" s="311">
        <f>((11912850+1161200)-1421200)+99919-490000</f>
        <v>11262769</v>
      </c>
      <c r="H33" s="311">
        <f>(689114)+67000</f>
        <v>756114</v>
      </c>
      <c r="I33" s="303"/>
      <c r="J33" s="304">
        <f t="shared" si="14"/>
        <v>352640</v>
      </c>
      <c r="K33" s="311">
        <f>(9000)+15000</f>
        <v>24000</v>
      </c>
      <c r="L33" s="311">
        <v>328640</v>
      </c>
      <c r="M33" s="311">
        <v>199640</v>
      </c>
      <c r="N33" s="311">
        <v>3410</v>
      </c>
      <c r="O33" s="266">
        <f t="shared" si="16"/>
        <v>24000</v>
      </c>
      <c r="P33" s="304">
        <f t="shared" si="13"/>
        <v>15665380</v>
      </c>
      <c r="R33" s="136" t="b">
        <f>K33='d5'!I30</f>
        <v>1</v>
      </c>
    </row>
    <row r="34" spans="1:18" s="118" customFormat="1" ht="91.5" x14ac:dyDescent="0.2">
      <c r="A34" s="301" t="s">
        <v>523</v>
      </c>
      <c r="B34" s="301" t="s">
        <v>524</v>
      </c>
      <c r="C34" s="301" t="s">
        <v>308</v>
      </c>
      <c r="D34" s="305" t="s">
        <v>522</v>
      </c>
      <c r="E34" s="302">
        <f>F34</f>
        <v>150770</v>
      </c>
      <c r="F34" s="303">
        <f>(148960)+1810</f>
        <v>150770</v>
      </c>
      <c r="G34" s="303"/>
      <c r="H34" s="303"/>
      <c r="I34" s="303"/>
      <c r="J34" s="304">
        <f t="shared" si="14"/>
        <v>0</v>
      </c>
      <c r="K34" s="303"/>
      <c r="L34" s="303"/>
      <c r="M34" s="303"/>
      <c r="N34" s="303"/>
      <c r="O34" s="266">
        <f t="shared" si="16"/>
        <v>0</v>
      </c>
      <c r="P34" s="304">
        <f t="shared" si="13"/>
        <v>150770</v>
      </c>
      <c r="R34" s="136"/>
    </row>
    <row r="35" spans="1:18" s="118" customFormat="1" ht="91.5" x14ac:dyDescent="0.2">
      <c r="A35" s="301" t="s">
        <v>797</v>
      </c>
      <c r="B35" s="301" t="s">
        <v>798</v>
      </c>
      <c r="C35" s="301" t="s">
        <v>308</v>
      </c>
      <c r="D35" s="305" t="s">
        <v>799</v>
      </c>
      <c r="E35" s="302">
        <f>F35</f>
        <v>2036012</v>
      </c>
      <c r="F35" s="303">
        <v>2036012</v>
      </c>
      <c r="G35" s="303">
        <f>1161200+260000</f>
        <v>1421200</v>
      </c>
      <c r="H35" s="303">
        <v>30900</v>
      </c>
      <c r="I35" s="303"/>
      <c r="J35" s="304">
        <f t="shared" si="14"/>
        <v>200000</v>
      </c>
      <c r="K35" s="303">
        <v>200000</v>
      </c>
      <c r="L35" s="303"/>
      <c r="M35" s="303"/>
      <c r="N35" s="303"/>
      <c r="O35" s="266">
        <f t="shared" si="16"/>
        <v>200000</v>
      </c>
      <c r="P35" s="304">
        <f t="shared" si="13"/>
        <v>2236012</v>
      </c>
      <c r="R35" s="136"/>
    </row>
    <row r="36" spans="1:18" s="118" customFormat="1" ht="366" x14ac:dyDescent="0.2">
      <c r="A36" s="305" t="s">
        <v>801</v>
      </c>
      <c r="B36" s="305" t="s">
        <v>802</v>
      </c>
      <c r="C36" s="305" t="s">
        <v>273</v>
      </c>
      <c r="D36" s="305" t="s">
        <v>800</v>
      </c>
      <c r="E36" s="302">
        <f>F36</f>
        <v>1925000</v>
      </c>
      <c r="F36" s="303">
        <v>1925000</v>
      </c>
      <c r="G36" s="303"/>
      <c r="H36" s="303"/>
      <c r="I36" s="303"/>
      <c r="J36" s="304">
        <f>L36+O36</f>
        <v>0</v>
      </c>
      <c r="K36" s="303"/>
      <c r="L36" s="303"/>
      <c r="M36" s="303"/>
      <c r="N36" s="303"/>
      <c r="O36" s="266">
        <f>K36</f>
        <v>0</v>
      </c>
      <c r="P36" s="304">
        <f>E36+J36</f>
        <v>1925000</v>
      </c>
      <c r="R36" s="136"/>
    </row>
    <row r="37" spans="1:18" s="118" customFormat="1" ht="46.5" x14ac:dyDescent="0.2">
      <c r="A37" s="305" t="s">
        <v>310</v>
      </c>
      <c r="B37" s="305" t="s">
        <v>311</v>
      </c>
      <c r="C37" s="305" t="s">
        <v>312</v>
      </c>
      <c r="D37" s="305" t="s">
        <v>67</v>
      </c>
      <c r="E37" s="302">
        <f>F37</f>
        <v>0</v>
      </c>
      <c r="F37" s="303">
        <f>(2700000)-2700000</f>
        <v>0</v>
      </c>
      <c r="G37" s="303"/>
      <c r="H37" s="303"/>
      <c r="I37" s="303"/>
      <c r="J37" s="304">
        <f t="shared" ref="J37" si="17">L37+O37</f>
        <v>3640000</v>
      </c>
      <c r="K37" s="303">
        <f>(5000000)-848138-1751862+1440000+500000-700000</f>
        <v>3640000</v>
      </c>
      <c r="L37" s="303"/>
      <c r="M37" s="303"/>
      <c r="N37" s="303"/>
      <c r="O37" s="266">
        <f t="shared" si="16"/>
        <v>3640000</v>
      </c>
      <c r="P37" s="304">
        <f t="shared" si="13"/>
        <v>3640000</v>
      </c>
      <c r="R37" s="136" t="b">
        <f>K37='d5'!I33</f>
        <v>1</v>
      </c>
    </row>
    <row r="38" spans="1:18" ht="135" x14ac:dyDescent="0.2">
      <c r="A38" s="258" t="s">
        <v>234</v>
      </c>
      <c r="B38" s="258"/>
      <c r="C38" s="258"/>
      <c r="D38" s="259" t="s">
        <v>36</v>
      </c>
      <c r="E38" s="260">
        <f>E39</f>
        <v>366679596.38</v>
      </c>
      <c r="F38" s="260">
        <f t="shared" ref="F38:G38" si="18">F39</f>
        <v>366679596.38</v>
      </c>
      <c r="G38" s="260">
        <f t="shared" si="18"/>
        <v>3641900</v>
      </c>
      <c r="H38" s="260">
        <f>H39</f>
        <v>215400</v>
      </c>
      <c r="I38" s="260">
        <f t="shared" ref="I38" si="19">I39</f>
        <v>0</v>
      </c>
      <c r="J38" s="260">
        <f>J39</f>
        <v>37285758</v>
      </c>
      <c r="K38" s="260">
        <f>K39</f>
        <v>30689967</v>
      </c>
      <c r="L38" s="260">
        <f>L39</f>
        <v>5853391</v>
      </c>
      <c r="M38" s="260">
        <f t="shared" ref="M38" si="20">M39</f>
        <v>0</v>
      </c>
      <c r="N38" s="260">
        <f>N39</f>
        <v>0</v>
      </c>
      <c r="O38" s="260">
        <f>O39</f>
        <v>31432367</v>
      </c>
      <c r="P38" s="260">
        <f>P39</f>
        <v>403965354.38</v>
      </c>
    </row>
    <row r="39" spans="1:18" ht="135" x14ac:dyDescent="0.2">
      <c r="A39" s="261" t="s">
        <v>235</v>
      </c>
      <c r="B39" s="261"/>
      <c r="C39" s="261"/>
      <c r="D39" s="262" t="s">
        <v>59</v>
      </c>
      <c r="E39" s="263">
        <f>SUM(E40:E51)</f>
        <v>366679596.38</v>
      </c>
      <c r="F39" s="263">
        <f t="shared" ref="F39:H39" si="21">SUM(F40:F51)</f>
        <v>366679596.38</v>
      </c>
      <c r="G39" s="263">
        <f t="shared" si="21"/>
        <v>3641900</v>
      </c>
      <c r="H39" s="263">
        <f t="shared" si="21"/>
        <v>215400</v>
      </c>
      <c r="I39" s="263">
        <f>SUM(I40:I51)</f>
        <v>0</v>
      </c>
      <c r="J39" s="263">
        <f>L39+O39</f>
        <v>37285758</v>
      </c>
      <c r="K39" s="263">
        <f>SUM(K40:K51)</f>
        <v>30689967</v>
      </c>
      <c r="L39" s="263">
        <f t="shared" ref="L39:N39" si="22">SUM(L40:L51)</f>
        <v>5853391</v>
      </c>
      <c r="M39" s="263">
        <f t="shared" si="22"/>
        <v>0</v>
      </c>
      <c r="N39" s="263">
        <f t="shared" si="22"/>
        <v>0</v>
      </c>
      <c r="O39" s="263">
        <f>SUM(O40:O51)</f>
        <v>31432367</v>
      </c>
      <c r="P39" s="263">
        <f t="shared" ref="P39:P51" si="23">E39+J39</f>
        <v>403965354.38</v>
      </c>
      <c r="Q39" s="136" t="b">
        <f>P39=P41+P42+P43+P44+P45+P46+P47+P48+P49+P40+P50+P51</f>
        <v>1</v>
      </c>
      <c r="R39" s="136" t="b">
        <f>K39='d5'!I34</f>
        <v>0</v>
      </c>
    </row>
    <row r="40" spans="1:18" ht="228.75" x14ac:dyDescent="0.2">
      <c r="A40" s="305" t="s">
        <v>705</v>
      </c>
      <c r="B40" s="305" t="s">
        <v>335</v>
      </c>
      <c r="C40" s="305" t="s">
        <v>333</v>
      </c>
      <c r="D40" s="305" t="s">
        <v>334</v>
      </c>
      <c r="E40" s="304">
        <f>F40</f>
        <v>2501100</v>
      </c>
      <c r="F40" s="311">
        <v>2501100</v>
      </c>
      <c r="G40" s="311">
        <v>1884600</v>
      </c>
      <c r="H40" s="311">
        <v>101500</v>
      </c>
      <c r="I40" s="311"/>
      <c r="J40" s="304">
        <f t="shared" ref="J40:J51" si="24">L40+O40</f>
        <v>0</v>
      </c>
      <c r="K40" s="304"/>
      <c r="L40" s="304"/>
      <c r="M40" s="304"/>
      <c r="N40" s="304"/>
      <c r="O40" s="266">
        <f>K40</f>
        <v>0</v>
      </c>
      <c r="P40" s="304">
        <f t="shared" si="23"/>
        <v>2501100</v>
      </c>
      <c r="Q40" s="136"/>
      <c r="R40" s="136"/>
    </row>
    <row r="41" spans="1:18" ht="91.5" x14ac:dyDescent="0.2">
      <c r="A41" s="305" t="s">
        <v>313</v>
      </c>
      <c r="B41" s="305" t="s">
        <v>309</v>
      </c>
      <c r="C41" s="305" t="s">
        <v>314</v>
      </c>
      <c r="D41" s="305" t="s">
        <v>37</v>
      </c>
      <c r="E41" s="304">
        <f>F41</f>
        <v>201217642</v>
      </c>
      <c r="F41" s="311">
        <f>(((190671412+426500+500000)-3985900+13242930-25000+167700)+200)+50000-277700+77700+200000+1000000-1000000+169800</f>
        <v>201217642</v>
      </c>
      <c r="G41" s="311"/>
      <c r="H41" s="311"/>
      <c r="I41" s="311"/>
      <c r="J41" s="304">
        <f t="shared" si="24"/>
        <v>22043414</v>
      </c>
      <c r="K41" s="311">
        <f>(12634714)+825600+352700+168400+1398400+160300+2700000+1108000+270000-37400</f>
        <v>19580714</v>
      </c>
      <c r="L41" s="311">
        <f>(4218000)-2055300</f>
        <v>2162700</v>
      </c>
      <c r="M41" s="311"/>
      <c r="N41" s="311"/>
      <c r="O41" s="266">
        <f>K41+300000</f>
        <v>19880714</v>
      </c>
      <c r="P41" s="304">
        <f t="shared" si="23"/>
        <v>223261056</v>
      </c>
      <c r="R41" s="136" t="b">
        <f>K41='d5'!I36+'d5'!I37+'d5'!I38</f>
        <v>0</v>
      </c>
    </row>
    <row r="42" spans="1:18" ht="137.25" x14ac:dyDescent="0.2">
      <c r="A42" s="305" t="s">
        <v>315</v>
      </c>
      <c r="B42" s="305" t="s">
        <v>316</v>
      </c>
      <c r="C42" s="305" t="s">
        <v>317</v>
      </c>
      <c r="D42" s="305" t="s">
        <v>318</v>
      </c>
      <c r="E42" s="304">
        <f t="shared" ref="E42:E51" si="25">F42</f>
        <v>59883500</v>
      </c>
      <c r="F42" s="311">
        <f>(59783500)+100000</f>
        <v>59883500</v>
      </c>
      <c r="G42" s="311"/>
      <c r="H42" s="311"/>
      <c r="I42" s="311"/>
      <c r="J42" s="304">
        <f t="shared" si="24"/>
        <v>472091</v>
      </c>
      <c r="K42" s="311">
        <v>126000</v>
      </c>
      <c r="L42" s="311">
        <f>(1038271)-692180</f>
        <v>346091</v>
      </c>
      <c r="M42" s="311"/>
      <c r="N42" s="311"/>
      <c r="O42" s="266">
        <f>K42</f>
        <v>126000</v>
      </c>
      <c r="P42" s="304">
        <f t="shared" si="23"/>
        <v>60355591</v>
      </c>
      <c r="R42" s="136" t="b">
        <f>K42='d5'!I39</f>
        <v>1</v>
      </c>
    </row>
    <row r="43" spans="1:18" ht="137.25" x14ac:dyDescent="0.2">
      <c r="A43" s="305" t="s">
        <v>319</v>
      </c>
      <c r="B43" s="305" t="s">
        <v>320</v>
      </c>
      <c r="C43" s="305" t="s">
        <v>321</v>
      </c>
      <c r="D43" s="305" t="s">
        <v>538</v>
      </c>
      <c r="E43" s="304">
        <f t="shared" si="25"/>
        <v>61625370</v>
      </c>
      <c r="F43" s="311">
        <f>((57684870)+3985900-234000)+188600</f>
        <v>61625370</v>
      </c>
      <c r="G43" s="311"/>
      <c r="H43" s="311"/>
      <c r="I43" s="311"/>
      <c r="J43" s="304">
        <f t="shared" si="24"/>
        <v>2706300</v>
      </c>
      <c r="K43" s="311">
        <f>939600-99000</f>
        <v>840600</v>
      </c>
      <c r="L43" s="311">
        <f>(5254900)-3731600</f>
        <v>1523300</v>
      </c>
      <c r="M43" s="311"/>
      <c r="N43" s="311"/>
      <c r="O43" s="266">
        <f>K43+342400</f>
        <v>1183000</v>
      </c>
      <c r="P43" s="304">
        <f t="shared" si="23"/>
        <v>64331670</v>
      </c>
      <c r="R43" s="136" t="b">
        <f>K43='d5'!I40</f>
        <v>1</v>
      </c>
    </row>
    <row r="44" spans="1:18" ht="91.5" x14ac:dyDescent="0.2">
      <c r="A44" s="305" t="s">
        <v>322</v>
      </c>
      <c r="B44" s="305" t="s">
        <v>323</v>
      </c>
      <c r="C44" s="305" t="s">
        <v>324</v>
      </c>
      <c r="D44" s="305" t="s">
        <v>325</v>
      </c>
      <c r="E44" s="304">
        <f t="shared" si="25"/>
        <v>9871950</v>
      </c>
      <c r="F44" s="311">
        <f>9871950-949000+949000</f>
        <v>9871950</v>
      </c>
      <c r="G44" s="311"/>
      <c r="H44" s="311"/>
      <c r="I44" s="311"/>
      <c r="J44" s="304">
        <f t="shared" si="24"/>
        <v>3499300</v>
      </c>
      <c r="K44" s="311">
        <f>1600000</f>
        <v>1600000</v>
      </c>
      <c r="L44" s="311">
        <f>(5397900)-3598600</f>
        <v>1799300</v>
      </c>
      <c r="M44" s="311"/>
      <c r="N44" s="311"/>
      <c r="O44" s="266">
        <f>K44+100000</f>
        <v>1700000</v>
      </c>
      <c r="P44" s="304">
        <f t="shared" si="23"/>
        <v>13371250</v>
      </c>
      <c r="R44" s="136" t="b">
        <f>K44='d5'!I41</f>
        <v>1</v>
      </c>
    </row>
    <row r="45" spans="1:18" ht="183" x14ac:dyDescent="0.2">
      <c r="A45" s="305" t="s">
        <v>326</v>
      </c>
      <c r="B45" s="301" t="s">
        <v>327</v>
      </c>
      <c r="C45" s="301" t="s">
        <v>539</v>
      </c>
      <c r="D45" s="305" t="s">
        <v>328</v>
      </c>
      <c r="E45" s="304">
        <f t="shared" si="25"/>
        <v>8952218</v>
      </c>
      <c r="F45" s="311">
        <f>(8891316)+60902</f>
        <v>8952218</v>
      </c>
      <c r="G45" s="311"/>
      <c r="H45" s="311"/>
      <c r="I45" s="311"/>
      <c r="J45" s="304">
        <f t="shared" si="24"/>
        <v>0</v>
      </c>
      <c r="K45" s="311"/>
      <c r="L45" s="311"/>
      <c r="M45" s="311"/>
      <c r="N45" s="311"/>
      <c r="O45" s="266">
        <f t="shared" ref="O45:O51" si="26">K45</f>
        <v>0</v>
      </c>
      <c r="P45" s="304">
        <f t="shared" si="23"/>
        <v>8952218</v>
      </c>
      <c r="R45" s="136"/>
    </row>
    <row r="46" spans="1:18" ht="183" x14ac:dyDescent="0.2">
      <c r="A46" s="305" t="s">
        <v>577</v>
      </c>
      <c r="B46" s="305" t="s">
        <v>578</v>
      </c>
      <c r="C46" s="301" t="s">
        <v>329</v>
      </c>
      <c r="D46" s="269" t="s">
        <v>579</v>
      </c>
      <c r="E46" s="304">
        <f t="shared" si="25"/>
        <v>13400746.379999999</v>
      </c>
      <c r="F46" s="311">
        <f>(8972700)+4428046.38</f>
        <v>13400746.379999999</v>
      </c>
      <c r="G46" s="311"/>
      <c r="H46" s="311"/>
      <c r="I46" s="311"/>
      <c r="J46" s="304">
        <f t="shared" si="24"/>
        <v>0</v>
      </c>
      <c r="K46" s="311"/>
      <c r="L46" s="311"/>
      <c r="M46" s="311"/>
      <c r="N46" s="311"/>
      <c r="O46" s="266">
        <f t="shared" si="26"/>
        <v>0</v>
      </c>
      <c r="P46" s="304">
        <f t="shared" si="23"/>
        <v>13400746.379999999</v>
      </c>
      <c r="R46" s="136"/>
    </row>
    <row r="47" spans="1:18" ht="183" x14ac:dyDescent="0.2">
      <c r="A47" s="305" t="s">
        <v>582</v>
      </c>
      <c r="B47" s="305" t="s">
        <v>581</v>
      </c>
      <c r="C47" s="301" t="s">
        <v>329</v>
      </c>
      <c r="D47" s="269" t="s">
        <v>580</v>
      </c>
      <c r="E47" s="304">
        <f t="shared" si="25"/>
        <v>1734200</v>
      </c>
      <c r="F47" s="311">
        <v>1734200</v>
      </c>
      <c r="G47" s="311"/>
      <c r="H47" s="311"/>
      <c r="I47" s="311"/>
      <c r="J47" s="304">
        <f t="shared" si="24"/>
        <v>0</v>
      </c>
      <c r="K47" s="311"/>
      <c r="L47" s="311"/>
      <c r="M47" s="311"/>
      <c r="N47" s="311"/>
      <c r="O47" s="266">
        <f t="shared" si="26"/>
        <v>0</v>
      </c>
      <c r="P47" s="304">
        <f t="shared" si="23"/>
        <v>1734200</v>
      </c>
      <c r="R47" s="136"/>
    </row>
    <row r="48" spans="1:18" s="118" customFormat="1" ht="137.25" x14ac:dyDescent="0.2">
      <c r="A48" s="305" t="s">
        <v>495</v>
      </c>
      <c r="B48" s="305" t="s">
        <v>497</v>
      </c>
      <c r="C48" s="301" t="s">
        <v>329</v>
      </c>
      <c r="D48" s="269" t="s">
        <v>493</v>
      </c>
      <c r="E48" s="304">
        <f t="shared" si="25"/>
        <v>2416670</v>
      </c>
      <c r="F48" s="311">
        <f>(2416670)</f>
        <v>2416670</v>
      </c>
      <c r="G48" s="311">
        <v>1757300</v>
      </c>
      <c r="H48" s="311">
        <f>(113600)+300</f>
        <v>113900</v>
      </c>
      <c r="I48" s="311"/>
      <c r="J48" s="304">
        <f t="shared" si="24"/>
        <v>129704</v>
      </c>
      <c r="K48" s="311">
        <f>167704-60000</f>
        <v>107704</v>
      </c>
      <c r="L48" s="311">
        <v>22000</v>
      </c>
      <c r="M48" s="311"/>
      <c r="N48" s="311"/>
      <c r="O48" s="266">
        <f t="shared" si="26"/>
        <v>107704</v>
      </c>
      <c r="P48" s="304">
        <f t="shared" si="23"/>
        <v>2546374</v>
      </c>
      <c r="R48" s="136" t="b">
        <f>K48='d5'!I42</f>
        <v>1</v>
      </c>
    </row>
    <row r="49" spans="1:20" s="118" customFormat="1" ht="91.5" x14ac:dyDescent="0.2">
      <c r="A49" s="305" t="s">
        <v>496</v>
      </c>
      <c r="B49" s="305" t="s">
        <v>498</v>
      </c>
      <c r="C49" s="301" t="s">
        <v>329</v>
      </c>
      <c r="D49" s="269" t="s">
        <v>494</v>
      </c>
      <c r="E49" s="304">
        <f t="shared" si="25"/>
        <v>4926200</v>
      </c>
      <c r="F49" s="311">
        <f>((3360000)+949000+126200-949000+576000)+864000</f>
        <v>4926200</v>
      </c>
      <c r="G49" s="311"/>
      <c r="H49" s="311"/>
      <c r="I49" s="311"/>
      <c r="J49" s="304">
        <f t="shared" si="24"/>
        <v>0</v>
      </c>
      <c r="K49" s="311"/>
      <c r="L49" s="311"/>
      <c r="M49" s="311"/>
      <c r="N49" s="311"/>
      <c r="O49" s="266">
        <f t="shared" si="26"/>
        <v>0</v>
      </c>
      <c r="P49" s="304">
        <f t="shared" si="23"/>
        <v>4926200</v>
      </c>
      <c r="R49" s="136"/>
    </row>
    <row r="50" spans="1:20" s="118" customFormat="1" ht="91.5" x14ac:dyDescent="0.2">
      <c r="A50" s="305" t="s">
        <v>863</v>
      </c>
      <c r="B50" s="305" t="s">
        <v>287</v>
      </c>
      <c r="C50" s="305" t="s">
        <v>250</v>
      </c>
      <c r="D50" s="305" t="s">
        <v>57</v>
      </c>
      <c r="E50" s="304">
        <f t="shared" si="25"/>
        <v>0</v>
      </c>
      <c r="F50" s="311"/>
      <c r="G50" s="311"/>
      <c r="H50" s="311"/>
      <c r="I50" s="311"/>
      <c r="J50" s="304">
        <f t="shared" si="24"/>
        <v>6890192</v>
      </c>
      <c r="K50" s="311">
        <f>(200000+600000+208200+167638+7587376+25000-208200-167638-1600000+130216)+390000+37400-500000-11300+11300+80000-390000+96000+192200+42000</f>
        <v>6890192</v>
      </c>
      <c r="L50" s="311"/>
      <c r="M50" s="311"/>
      <c r="N50" s="311"/>
      <c r="O50" s="266">
        <f t="shared" si="26"/>
        <v>6890192</v>
      </c>
      <c r="P50" s="304">
        <f t="shared" si="23"/>
        <v>6890192</v>
      </c>
      <c r="R50" s="136" t="b">
        <f>K50='d5'!I43+'d5'!I44+'d5'!I45</f>
        <v>0</v>
      </c>
    </row>
    <row r="51" spans="1:20" s="118" customFormat="1" ht="91.5" x14ac:dyDescent="0.2">
      <c r="A51" s="305" t="s">
        <v>865</v>
      </c>
      <c r="B51" s="305" t="s">
        <v>587</v>
      </c>
      <c r="C51" s="305" t="s">
        <v>71</v>
      </c>
      <c r="D51" s="305" t="s">
        <v>588</v>
      </c>
      <c r="E51" s="304">
        <f t="shared" si="25"/>
        <v>150000</v>
      </c>
      <c r="F51" s="311">
        <f>(100000)+50000</f>
        <v>150000</v>
      </c>
      <c r="G51" s="311"/>
      <c r="H51" s="311"/>
      <c r="I51" s="311"/>
      <c r="J51" s="304">
        <f t="shared" si="24"/>
        <v>1544757</v>
      </c>
      <c r="K51" s="311">
        <f>(935992+218765)+390000</f>
        <v>1544757</v>
      </c>
      <c r="L51" s="311"/>
      <c r="M51" s="311"/>
      <c r="N51" s="311"/>
      <c r="O51" s="266">
        <f t="shared" si="26"/>
        <v>1544757</v>
      </c>
      <c r="P51" s="304">
        <f t="shared" si="23"/>
        <v>1694757</v>
      </c>
      <c r="R51" s="136" t="b">
        <f>K51='d5'!I46</f>
        <v>1</v>
      </c>
    </row>
    <row r="52" spans="1:20" ht="225" x14ac:dyDescent="0.2">
      <c r="A52" s="258" t="s">
        <v>236</v>
      </c>
      <c r="B52" s="258"/>
      <c r="C52" s="258"/>
      <c r="D52" s="259" t="s">
        <v>60</v>
      </c>
      <c r="E52" s="260">
        <f>E53</f>
        <v>700460285</v>
      </c>
      <c r="F52" s="260">
        <f t="shared" ref="F52:G52" si="27">F53</f>
        <v>700460285</v>
      </c>
      <c r="G52" s="260">
        <f t="shared" si="27"/>
        <v>45497797</v>
      </c>
      <c r="H52" s="260">
        <f>H53</f>
        <v>1804796</v>
      </c>
      <c r="I52" s="260">
        <f t="shared" ref="I52" si="28">I53</f>
        <v>0</v>
      </c>
      <c r="J52" s="260">
        <f>J53</f>
        <v>24820430.48</v>
      </c>
      <c r="K52" s="260">
        <f>K53</f>
        <v>24279525.48</v>
      </c>
      <c r="L52" s="260">
        <f>L53</f>
        <v>540905</v>
      </c>
      <c r="M52" s="260">
        <f t="shared" ref="M52" si="29">M53</f>
        <v>60000</v>
      </c>
      <c r="N52" s="260">
        <f>N53</f>
        <v>4000</v>
      </c>
      <c r="O52" s="260">
        <f>O53</f>
        <v>24279525.48</v>
      </c>
      <c r="P52" s="260">
        <f>P53</f>
        <v>725280715.48000002</v>
      </c>
    </row>
    <row r="53" spans="1:20" ht="225" x14ac:dyDescent="0.2">
      <c r="A53" s="261" t="s">
        <v>237</v>
      </c>
      <c r="B53" s="261"/>
      <c r="C53" s="261"/>
      <c r="D53" s="262" t="s">
        <v>61</v>
      </c>
      <c r="E53" s="263">
        <f>SUM(E54:E105)</f>
        <v>700460285</v>
      </c>
      <c r="F53" s="263">
        <f>SUM(F54:F105)</f>
        <v>700460285</v>
      </c>
      <c r="G53" s="263">
        <f>SUM(G54:G105)</f>
        <v>45497797</v>
      </c>
      <c r="H53" s="263">
        <f>SUM(H54:H105)</f>
        <v>1804796</v>
      </c>
      <c r="I53" s="263">
        <f>SUM(I54:I105)</f>
        <v>0</v>
      </c>
      <c r="J53" s="263">
        <f t="shared" ref="J53:J96" si="30">L53+O53</f>
        <v>24820430.48</v>
      </c>
      <c r="K53" s="263">
        <f>SUM(K54:K105)</f>
        <v>24279525.48</v>
      </c>
      <c r="L53" s="263">
        <f>SUM(L54:L105)</f>
        <v>540905</v>
      </c>
      <c r="M53" s="263">
        <f>SUM(M54:M105)</f>
        <v>60000</v>
      </c>
      <c r="N53" s="263">
        <f>SUM(N54:N105)</f>
        <v>4000</v>
      </c>
      <c r="O53" s="263">
        <f>SUM(O54:O105)</f>
        <v>24279525.48</v>
      </c>
      <c r="P53" s="263">
        <f t="shared" ref="P53:P83" si="31">E53+J53</f>
        <v>725280715.48000002</v>
      </c>
      <c r="Q53" s="146" t="b">
        <f>P53=P55+P56+P57+P58+P59+P60+P61+P62+P63+P64+P65+P66+P67+P68+P69+P70+P72+P73+P74+P75+P76+P77+P81+P82+P83+P84+P85+P86+P87+P88+P96+P99+P100+P101+P89+P103+P54+P104+P78+P71+P80+P90+P93+P102</f>
        <v>1</v>
      </c>
      <c r="R53" s="306" t="b">
        <f>K53='d5'!I48</f>
        <v>0</v>
      </c>
      <c r="T53" s="146"/>
    </row>
    <row r="54" spans="1:20" ht="228.75" x14ac:dyDescent="0.2">
      <c r="A54" s="305" t="s">
        <v>704</v>
      </c>
      <c r="B54" s="305" t="s">
        <v>335</v>
      </c>
      <c r="C54" s="305" t="s">
        <v>333</v>
      </c>
      <c r="D54" s="305" t="s">
        <v>334</v>
      </c>
      <c r="E54" s="302">
        <f t="shared" ref="E54:E58" si="32">F54</f>
        <v>36209100</v>
      </c>
      <c r="F54" s="311">
        <f>((35993100)+100000+100000+65000)+15000+25000+25000-66600+1600-49000</f>
        <v>36209100</v>
      </c>
      <c r="G54" s="311">
        <v>26800000</v>
      </c>
      <c r="H54" s="311">
        <f>(1006600)-66600+1600-49000</f>
        <v>892600</v>
      </c>
      <c r="I54" s="311"/>
      <c r="J54" s="304">
        <f t="shared" si="30"/>
        <v>499000</v>
      </c>
      <c r="K54" s="311">
        <f>(450000)+49000</f>
        <v>499000</v>
      </c>
      <c r="L54" s="311"/>
      <c r="M54" s="311"/>
      <c r="N54" s="311"/>
      <c r="O54" s="266">
        <f>K54</f>
        <v>499000</v>
      </c>
      <c r="P54" s="302">
        <f t="shared" si="31"/>
        <v>36708100</v>
      </c>
      <c r="Q54" s="146"/>
      <c r="R54" s="306" t="b">
        <f>K54='d5'!I49</f>
        <v>1</v>
      </c>
      <c r="T54" s="146"/>
    </row>
    <row r="55" spans="1:20" ht="183" x14ac:dyDescent="0.2">
      <c r="A55" s="301" t="s">
        <v>350</v>
      </c>
      <c r="B55" s="301" t="s">
        <v>351</v>
      </c>
      <c r="C55" s="301" t="s">
        <v>296</v>
      </c>
      <c r="D55" s="270" t="s">
        <v>349</v>
      </c>
      <c r="E55" s="302">
        <f t="shared" si="32"/>
        <v>74918555.920000002</v>
      </c>
      <c r="F55" s="303">
        <f>(70418585.58)+4499970.34</f>
        <v>74918555.920000002</v>
      </c>
      <c r="G55" s="303"/>
      <c r="H55" s="303"/>
      <c r="I55" s="303"/>
      <c r="J55" s="304">
        <f t="shared" si="30"/>
        <v>0</v>
      </c>
      <c r="K55" s="303"/>
      <c r="L55" s="303"/>
      <c r="M55" s="303"/>
      <c r="N55" s="303"/>
      <c r="O55" s="266">
        <f t="shared" ref="O55:O96" si="33">K55</f>
        <v>0</v>
      </c>
      <c r="P55" s="302">
        <f t="shared" si="31"/>
        <v>74918555.920000002</v>
      </c>
      <c r="R55" s="306"/>
    </row>
    <row r="56" spans="1:20" ht="183" x14ac:dyDescent="0.2">
      <c r="A56" s="271" t="s">
        <v>369</v>
      </c>
      <c r="B56" s="301" t="s">
        <v>370</v>
      </c>
      <c r="C56" s="301" t="s">
        <v>79</v>
      </c>
      <c r="D56" s="305" t="s">
        <v>8</v>
      </c>
      <c r="E56" s="256">
        <f t="shared" si="32"/>
        <v>73735644.079999998</v>
      </c>
      <c r="F56" s="311">
        <v>73735644.079999998</v>
      </c>
      <c r="G56" s="311"/>
      <c r="H56" s="311"/>
      <c r="I56" s="311"/>
      <c r="J56" s="304">
        <f t="shared" si="30"/>
        <v>0</v>
      </c>
      <c r="K56" s="303"/>
      <c r="L56" s="311"/>
      <c r="M56" s="311"/>
      <c r="N56" s="311"/>
      <c r="O56" s="266">
        <f t="shared" si="33"/>
        <v>0</v>
      </c>
      <c r="P56" s="304">
        <f t="shared" si="31"/>
        <v>73735644.079999998</v>
      </c>
      <c r="R56" s="306"/>
    </row>
    <row r="57" spans="1:20" ht="274.5" x14ac:dyDescent="0.2">
      <c r="A57" s="305" t="s">
        <v>372</v>
      </c>
      <c r="B57" s="305" t="s">
        <v>373</v>
      </c>
      <c r="C57" s="305" t="s">
        <v>296</v>
      </c>
      <c r="D57" s="250" t="s">
        <v>371</v>
      </c>
      <c r="E57" s="302">
        <f t="shared" si="32"/>
        <v>3000</v>
      </c>
      <c r="F57" s="303">
        <v>3000</v>
      </c>
      <c r="G57" s="303"/>
      <c r="H57" s="303"/>
      <c r="I57" s="303"/>
      <c r="J57" s="304">
        <f t="shared" si="30"/>
        <v>0</v>
      </c>
      <c r="K57" s="303"/>
      <c r="L57" s="303"/>
      <c r="M57" s="303"/>
      <c r="N57" s="303"/>
      <c r="O57" s="266">
        <f t="shared" si="33"/>
        <v>0</v>
      </c>
      <c r="P57" s="302">
        <f t="shared" si="31"/>
        <v>3000</v>
      </c>
      <c r="R57" s="306"/>
    </row>
    <row r="58" spans="1:20" ht="228.75" x14ac:dyDescent="0.2">
      <c r="A58" s="305" t="s">
        <v>374</v>
      </c>
      <c r="B58" s="305" t="s">
        <v>375</v>
      </c>
      <c r="C58" s="250">
        <v>1060</v>
      </c>
      <c r="D58" s="272" t="s">
        <v>19</v>
      </c>
      <c r="E58" s="304">
        <f t="shared" si="32"/>
        <v>46300</v>
      </c>
      <c r="F58" s="311">
        <f>44700+1600</f>
        <v>46300</v>
      </c>
      <c r="G58" s="311"/>
      <c r="H58" s="311"/>
      <c r="I58" s="311"/>
      <c r="J58" s="304">
        <f t="shared" si="30"/>
        <v>0</v>
      </c>
      <c r="K58" s="311"/>
      <c r="L58" s="311"/>
      <c r="M58" s="311"/>
      <c r="N58" s="311"/>
      <c r="O58" s="266">
        <f t="shared" si="33"/>
        <v>0</v>
      </c>
      <c r="P58" s="304">
        <f t="shared" si="31"/>
        <v>46300</v>
      </c>
      <c r="R58" s="306"/>
    </row>
    <row r="59" spans="1:20" s="118" customFormat="1" ht="137.25" x14ac:dyDescent="0.2">
      <c r="A59" s="301" t="s">
        <v>400</v>
      </c>
      <c r="B59" s="301" t="s">
        <v>401</v>
      </c>
      <c r="C59" s="301" t="s">
        <v>296</v>
      </c>
      <c r="D59" s="270" t="s">
        <v>402</v>
      </c>
      <c r="E59" s="302">
        <f>F59</f>
        <v>512970</v>
      </c>
      <c r="F59" s="303">
        <f>(322970)+190000</f>
        <v>512970</v>
      </c>
      <c r="G59" s="303"/>
      <c r="H59" s="303"/>
      <c r="I59" s="303"/>
      <c r="J59" s="304">
        <f t="shared" si="30"/>
        <v>100000</v>
      </c>
      <c r="K59" s="303">
        <v>100000</v>
      </c>
      <c r="L59" s="303"/>
      <c r="M59" s="303"/>
      <c r="N59" s="303"/>
      <c r="O59" s="266">
        <f t="shared" si="33"/>
        <v>100000</v>
      </c>
      <c r="P59" s="302">
        <f t="shared" si="31"/>
        <v>612970</v>
      </c>
      <c r="R59" s="306" t="b">
        <f>K59='d5'!I50</f>
        <v>1</v>
      </c>
    </row>
    <row r="60" spans="1:20" s="118" customFormat="1" ht="137.25" x14ac:dyDescent="0.2">
      <c r="A60" s="305" t="s">
        <v>403</v>
      </c>
      <c r="B60" s="305" t="s">
        <v>404</v>
      </c>
      <c r="C60" s="305" t="s">
        <v>297</v>
      </c>
      <c r="D60" s="305" t="s">
        <v>16</v>
      </c>
      <c r="E60" s="304">
        <f t="shared" ref="E60:E104" si="34">F60</f>
        <v>1410000</v>
      </c>
      <c r="F60" s="311">
        <f>(1360000)+50000</f>
        <v>1410000</v>
      </c>
      <c r="G60" s="311"/>
      <c r="H60" s="311"/>
      <c r="I60" s="311"/>
      <c r="J60" s="304">
        <f t="shared" si="30"/>
        <v>0</v>
      </c>
      <c r="K60" s="311"/>
      <c r="L60" s="311"/>
      <c r="M60" s="311"/>
      <c r="N60" s="311"/>
      <c r="O60" s="266">
        <f t="shared" si="33"/>
        <v>0</v>
      </c>
      <c r="P60" s="304">
        <f t="shared" si="31"/>
        <v>1410000</v>
      </c>
      <c r="R60" s="306"/>
    </row>
    <row r="61" spans="1:20" s="118" customFormat="1" ht="183" x14ac:dyDescent="0.2">
      <c r="A61" s="305" t="s">
        <v>406</v>
      </c>
      <c r="B61" s="305" t="s">
        <v>407</v>
      </c>
      <c r="C61" s="305" t="s">
        <v>297</v>
      </c>
      <c r="D61" s="301" t="s">
        <v>17</v>
      </c>
      <c r="E61" s="304">
        <f t="shared" si="34"/>
        <v>8000000</v>
      </c>
      <c r="F61" s="311">
        <v>8000000</v>
      </c>
      <c r="G61" s="311"/>
      <c r="H61" s="311"/>
      <c r="I61" s="311"/>
      <c r="J61" s="304">
        <f t="shared" si="30"/>
        <v>0</v>
      </c>
      <c r="K61" s="311"/>
      <c r="L61" s="311"/>
      <c r="M61" s="311"/>
      <c r="N61" s="311"/>
      <c r="O61" s="266">
        <f t="shared" si="33"/>
        <v>0</v>
      </c>
      <c r="P61" s="304">
        <f t="shared" si="31"/>
        <v>8000000</v>
      </c>
      <c r="R61" s="306"/>
    </row>
    <row r="62" spans="1:20" s="118" customFormat="1" ht="183" x14ac:dyDescent="0.2">
      <c r="A62" s="301" t="s">
        <v>408</v>
      </c>
      <c r="B62" s="301" t="s">
        <v>405</v>
      </c>
      <c r="C62" s="301" t="s">
        <v>297</v>
      </c>
      <c r="D62" s="301" t="s">
        <v>18</v>
      </c>
      <c r="E62" s="304">
        <f t="shared" si="34"/>
        <v>600000</v>
      </c>
      <c r="F62" s="311">
        <v>600000</v>
      </c>
      <c r="G62" s="311"/>
      <c r="H62" s="311"/>
      <c r="I62" s="311"/>
      <c r="J62" s="304">
        <f t="shared" si="30"/>
        <v>0</v>
      </c>
      <c r="K62" s="311"/>
      <c r="L62" s="311"/>
      <c r="M62" s="311"/>
      <c r="N62" s="311"/>
      <c r="O62" s="266">
        <f t="shared" si="33"/>
        <v>0</v>
      </c>
      <c r="P62" s="304">
        <f t="shared" si="31"/>
        <v>600000</v>
      </c>
      <c r="R62" s="306"/>
    </row>
    <row r="63" spans="1:20" s="118" customFormat="1" ht="183" x14ac:dyDescent="0.2">
      <c r="A63" s="301" t="s">
        <v>409</v>
      </c>
      <c r="B63" s="301" t="s">
        <v>410</v>
      </c>
      <c r="C63" s="301" t="s">
        <v>297</v>
      </c>
      <c r="D63" s="301" t="s">
        <v>21</v>
      </c>
      <c r="E63" s="304">
        <f t="shared" si="34"/>
        <v>89000000</v>
      </c>
      <c r="F63" s="311">
        <f>(82000000)+7000000</f>
        <v>89000000</v>
      </c>
      <c r="G63" s="311"/>
      <c r="H63" s="311"/>
      <c r="I63" s="311"/>
      <c r="J63" s="304">
        <f t="shared" si="30"/>
        <v>0</v>
      </c>
      <c r="K63" s="311"/>
      <c r="L63" s="311"/>
      <c r="M63" s="311"/>
      <c r="N63" s="311"/>
      <c r="O63" s="266">
        <f t="shared" si="33"/>
        <v>0</v>
      </c>
      <c r="P63" s="304">
        <f t="shared" si="31"/>
        <v>89000000</v>
      </c>
      <c r="R63" s="306"/>
    </row>
    <row r="64" spans="1:20" s="118" customFormat="1" ht="91.5" x14ac:dyDescent="0.2">
      <c r="A64" s="305" t="s">
        <v>360</v>
      </c>
      <c r="B64" s="305" t="s">
        <v>352</v>
      </c>
      <c r="C64" s="305" t="s">
        <v>273</v>
      </c>
      <c r="D64" s="305" t="s">
        <v>10</v>
      </c>
      <c r="E64" s="304">
        <f t="shared" si="34"/>
        <v>2814000</v>
      </c>
      <c r="F64" s="311">
        <v>2814000</v>
      </c>
      <c r="G64" s="311"/>
      <c r="H64" s="311"/>
      <c r="I64" s="311"/>
      <c r="J64" s="304">
        <f t="shared" si="30"/>
        <v>0</v>
      </c>
      <c r="K64" s="311"/>
      <c r="L64" s="311"/>
      <c r="M64" s="311"/>
      <c r="N64" s="311"/>
      <c r="O64" s="266">
        <f t="shared" si="33"/>
        <v>0</v>
      </c>
      <c r="P64" s="304">
        <f t="shared" si="31"/>
        <v>2814000</v>
      </c>
      <c r="R64" s="306"/>
    </row>
    <row r="65" spans="1:20" s="118" customFormat="1" ht="91.5" x14ac:dyDescent="0.2">
      <c r="A65" s="305" t="s">
        <v>361</v>
      </c>
      <c r="B65" s="305" t="s">
        <v>353</v>
      </c>
      <c r="C65" s="305" t="s">
        <v>273</v>
      </c>
      <c r="D65" s="305" t="s">
        <v>359</v>
      </c>
      <c r="E65" s="304">
        <f>F65</f>
        <v>571520</v>
      </c>
      <c r="F65" s="311">
        <f>(371520)+200000</f>
        <v>571520</v>
      </c>
      <c r="G65" s="311"/>
      <c r="H65" s="311"/>
      <c r="I65" s="311"/>
      <c r="J65" s="304">
        <f t="shared" si="30"/>
        <v>0</v>
      </c>
      <c r="K65" s="311"/>
      <c r="L65" s="311"/>
      <c r="M65" s="311"/>
      <c r="N65" s="311"/>
      <c r="O65" s="266">
        <f t="shared" si="33"/>
        <v>0</v>
      </c>
      <c r="P65" s="304">
        <f t="shared" si="31"/>
        <v>571520</v>
      </c>
      <c r="R65" s="306"/>
    </row>
    <row r="66" spans="1:20" s="118" customFormat="1" ht="91.5" x14ac:dyDescent="0.2">
      <c r="A66" s="305" t="s">
        <v>362</v>
      </c>
      <c r="B66" s="305" t="s">
        <v>354</v>
      </c>
      <c r="C66" s="305" t="s">
        <v>273</v>
      </c>
      <c r="D66" s="305" t="s">
        <v>11</v>
      </c>
      <c r="E66" s="304">
        <f t="shared" si="34"/>
        <v>135281196</v>
      </c>
      <c r="F66" s="311">
        <f>(157736000-225000-21813780)-416024</f>
        <v>135281196</v>
      </c>
      <c r="G66" s="311"/>
      <c r="H66" s="311"/>
      <c r="I66" s="311"/>
      <c r="J66" s="304">
        <f t="shared" si="30"/>
        <v>0</v>
      </c>
      <c r="K66" s="311"/>
      <c r="L66" s="311"/>
      <c r="M66" s="311"/>
      <c r="N66" s="311"/>
      <c r="O66" s="266">
        <f t="shared" si="33"/>
        <v>0</v>
      </c>
      <c r="P66" s="304">
        <f t="shared" si="31"/>
        <v>135281196</v>
      </c>
      <c r="R66" s="306"/>
    </row>
    <row r="67" spans="1:20" s="118" customFormat="1" ht="137.25" x14ac:dyDescent="0.2">
      <c r="A67" s="305" t="s">
        <v>363</v>
      </c>
      <c r="B67" s="305" t="s">
        <v>355</v>
      </c>
      <c r="C67" s="305" t="s">
        <v>273</v>
      </c>
      <c r="D67" s="305" t="s">
        <v>12</v>
      </c>
      <c r="E67" s="304">
        <f t="shared" si="34"/>
        <v>4266000</v>
      </c>
      <c r="F67" s="311">
        <v>4266000</v>
      </c>
      <c r="G67" s="311"/>
      <c r="H67" s="311"/>
      <c r="I67" s="311"/>
      <c r="J67" s="304">
        <f t="shared" si="30"/>
        <v>0</v>
      </c>
      <c r="K67" s="311"/>
      <c r="L67" s="311"/>
      <c r="M67" s="311"/>
      <c r="N67" s="311"/>
      <c r="O67" s="266">
        <f t="shared" si="33"/>
        <v>0</v>
      </c>
      <c r="P67" s="304">
        <f t="shared" si="31"/>
        <v>4266000</v>
      </c>
      <c r="R67" s="306"/>
    </row>
    <row r="68" spans="1:20" s="118" customFormat="1" ht="91.5" x14ac:dyDescent="0.2">
      <c r="A68" s="305" t="s">
        <v>364</v>
      </c>
      <c r="B68" s="305" t="s">
        <v>356</v>
      </c>
      <c r="C68" s="305" t="s">
        <v>273</v>
      </c>
      <c r="D68" s="305" t="s">
        <v>13</v>
      </c>
      <c r="E68" s="304">
        <f t="shared" si="34"/>
        <v>27062400</v>
      </c>
      <c r="F68" s="311">
        <v>27062400</v>
      </c>
      <c r="G68" s="311"/>
      <c r="H68" s="311"/>
      <c r="I68" s="311"/>
      <c r="J68" s="304">
        <f t="shared" si="30"/>
        <v>0</v>
      </c>
      <c r="K68" s="311"/>
      <c r="L68" s="311"/>
      <c r="M68" s="311"/>
      <c r="N68" s="311"/>
      <c r="O68" s="266">
        <f t="shared" si="33"/>
        <v>0</v>
      </c>
      <c r="P68" s="304">
        <f t="shared" si="31"/>
        <v>27062400</v>
      </c>
      <c r="R68" s="306"/>
    </row>
    <row r="69" spans="1:20" s="118" customFormat="1" ht="91.5" x14ac:dyDescent="0.2">
      <c r="A69" s="305" t="s">
        <v>365</v>
      </c>
      <c r="B69" s="305" t="s">
        <v>357</v>
      </c>
      <c r="C69" s="305" t="s">
        <v>273</v>
      </c>
      <c r="D69" s="305" t="s">
        <v>14</v>
      </c>
      <c r="E69" s="304">
        <f t="shared" si="34"/>
        <v>2700000</v>
      </c>
      <c r="F69" s="311">
        <v>2700000</v>
      </c>
      <c r="G69" s="311"/>
      <c r="H69" s="311"/>
      <c r="I69" s="311"/>
      <c r="J69" s="304">
        <f t="shared" si="30"/>
        <v>0</v>
      </c>
      <c r="K69" s="311"/>
      <c r="L69" s="311"/>
      <c r="M69" s="311"/>
      <c r="N69" s="311"/>
      <c r="O69" s="266">
        <f t="shared" si="33"/>
        <v>0</v>
      </c>
      <c r="P69" s="304">
        <f t="shared" si="31"/>
        <v>2700000</v>
      </c>
      <c r="R69" s="306"/>
    </row>
    <row r="70" spans="1:20" s="118" customFormat="1" ht="137.25" x14ac:dyDescent="0.2">
      <c r="A70" s="305" t="s">
        <v>366</v>
      </c>
      <c r="B70" s="305" t="s">
        <v>358</v>
      </c>
      <c r="C70" s="305" t="s">
        <v>273</v>
      </c>
      <c r="D70" s="305" t="s">
        <v>15</v>
      </c>
      <c r="E70" s="304">
        <f t="shared" si="34"/>
        <v>39337958</v>
      </c>
      <c r="F70" s="311">
        <v>39337958</v>
      </c>
      <c r="G70" s="311"/>
      <c r="H70" s="311"/>
      <c r="I70" s="311"/>
      <c r="J70" s="304">
        <f t="shared" si="30"/>
        <v>0</v>
      </c>
      <c r="K70" s="311"/>
      <c r="L70" s="311"/>
      <c r="M70" s="311"/>
      <c r="N70" s="311"/>
      <c r="O70" s="266">
        <f t="shared" si="33"/>
        <v>0</v>
      </c>
      <c r="P70" s="304">
        <f t="shared" si="31"/>
        <v>39337958</v>
      </c>
      <c r="R70" s="306"/>
    </row>
    <row r="71" spans="1:20" s="118" customFormat="1" ht="137.25" x14ac:dyDescent="0.2">
      <c r="A71" s="305" t="s">
        <v>883</v>
      </c>
      <c r="B71" s="305" t="s">
        <v>885</v>
      </c>
      <c r="C71" s="305" t="s">
        <v>273</v>
      </c>
      <c r="D71" s="305" t="s">
        <v>884</v>
      </c>
      <c r="E71" s="304">
        <f t="shared" si="34"/>
        <v>963000</v>
      </c>
      <c r="F71" s="311">
        <f>(572760)+390240</f>
        <v>963000</v>
      </c>
      <c r="G71" s="311"/>
      <c r="H71" s="311"/>
      <c r="I71" s="311"/>
      <c r="J71" s="304">
        <f t="shared" si="30"/>
        <v>0</v>
      </c>
      <c r="K71" s="311"/>
      <c r="L71" s="311"/>
      <c r="M71" s="311"/>
      <c r="N71" s="311"/>
      <c r="O71" s="266">
        <f t="shared" si="33"/>
        <v>0</v>
      </c>
      <c r="P71" s="304">
        <f t="shared" si="31"/>
        <v>963000</v>
      </c>
      <c r="R71" s="306"/>
    </row>
    <row r="72" spans="1:20" ht="183" x14ac:dyDescent="0.2">
      <c r="A72" s="305" t="s">
        <v>376</v>
      </c>
      <c r="B72" s="305" t="s">
        <v>367</v>
      </c>
      <c r="C72" s="305" t="s">
        <v>297</v>
      </c>
      <c r="D72" s="305" t="s">
        <v>9</v>
      </c>
      <c r="E72" s="304">
        <f t="shared" si="34"/>
        <v>179080</v>
      </c>
      <c r="F72" s="311">
        <v>179080</v>
      </c>
      <c r="G72" s="311"/>
      <c r="H72" s="311"/>
      <c r="I72" s="311"/>
      <c r="J72" s="304">
        <f t="shared" si="30"/>
        <v>0</v>
      </c>
      <c r="K72" s="304"/>
      <c r="L72" s="311"/>
      <c r="M72" s="311"/>
      <c r="N72" s="311"/>
      <c r="O72" s="266">
        <f t="shared" si="33"/>
        <v>0</v>
      </c>
      <c r="P72" s="304">
        <f t="shared" si="31"/>
        <v>179080</v>
      </c>
      <c r="R72" s="306"/>
    </row>
    <row r="73" spans="1:20" s="118" customFormat="1" ht="183" x14ac:dyDescent="0.2">
      <c r="A73" s="305" t="s">
        <v>543</v>
      </c>
      <c r="B73" s="305" t="s">
        <v>544</v>
      </c>
      <c r="C73" s="305" t="s">
        <v>289</v>
      </c>
      <c r="D73" s="305" t="s">
        <v>542</v>
      </c>
      <c r="E73" s="304">
        <f t="shared" si="34"/>
        <v>78472603.400000006</v>
      </c>
      <c r="F73" s="311">
        <v>78472603.400000006</v>
      </c>
      <c r="G73" s="311"/>
      <c r="H73" s="311"/>
      <c r="I73" s="311"/>
      <c r="J73" s="304">
        <f t="shared" si="30"/>
        <v>0</v>
      </c>
      <c r="K73" s="311"/>
      <c r="L73" s="311"/>
      <c r="M73" s="311"/>
      <c r="N73" s="311"/>
      <c r="O73" s="266">
        <f t="shared" si="33"/>
        <v>0</v>
      </c>
      <c r="P73" s="304">
        <f t="shared" si="31"/>
        <v>78472603.400000006</v>
      </c>
      <c r="R73" s="306"/>
    </row>
    <row r="74" spans="1:20" s="118" customFormat="1" ht="228.75" x14ac:dyDescent="0.2">
      <c r="A74" s="305" t="s">
        <v>600</v>
      </c>
      <c r="B74" s="305" t="s">
        <v>601</v>
      </c>
      <c r="C74" s="305" t="s">
        <v>289</v>
      </c>
      <c r="D74" s="305" t="s">
        <v>602</v>
      </c>
      <c r="E74" s="304">
        <f t="shared" si="34"/>
        <v>25694626.600000001</v>
      </c>
      <c r="F74" s="311">
        <v>25694626.600000001</v>
      </c>
      <c r="G74" s="311"/>
      <c r="H74" s="311"/>
      <c r="I74" s="311"/>
      <c r="J74" s="304">
        <f t="shared" si="30"/>
        <v>0</v>
      </c>
      <c r="K74" s="311"/>
      <c r="L74" s="311"/>
      <c r="M74" s="311"/>
      <c r="N74" s="311"/>
      <c r="O74" s="266">
        <f t="shared" si="33"/>
        <v>0</v>
      </c>
      <c r="P74" s="304">
        <f t="shared" si="31"/>
        <v>25694626.600000001</v>
      </c>
      <c r="R74" s="306"/>
    </row>
    <row r="75" spans="1:20" s="118" customFormat="1" ht="183" x14ac:dyDescent="0.2">
      <c r="A75" s="305" t="s">
        <v>540</v>
      </c>
      <c r="B75" s="305" t="s">
        <v>541</v>
      </c>
      <c r="C75" s="305" t="s">
        <v>289</v>
      </c>
      <c r="D75" s="305" t="s">
        <v>499</v>
      </c>
      <c r="E75" s="304">
        <f t="shared" si="34"/>
        <v>13918200</v>
      </c>
      <c r="F75" s="311">
        <f>(14110200)-192000</f>
        <v>13918200</v>
      </c>
      <c r="G75" s="311"/>
      <c r="H75" s="311"/>
      <c r="I75" s="311"/>
      <c r="J75" s="304">
        <f t="shared" si="30"/>
        <v>0</v>
      </c>
      <c r="K75" s="311"/>
      <c r="L75" s="311"/>
      <c r="M75" s="311"/>
      <c r="N75" s="311"/>
      <c r="O75" s="266">
        <f t="shared" si="33"/>
        <v>0</v>
      </c>
      <c r="P75" s="304">
        <f t="shared" si="31"/>
        <v>13918200</v>
      </c>
      <c r="R75" s="306"/>
    </row>
    <row r="76" spans="1:20" s="118" customFormat="1" ht="274.5" x14ac:dyDescent="0.2">
      <c r="A76" s="305" t="s">
        <v>547</v>
      </c>
      <c r="B76" s="305" t="s">
        <v>548</v>
      </c>
      <c r="C76" s="305" t="s">
        <v>273</v>
      </c>
      <c r="D76" s="305" t="s">
        <v>549</v>
      </c>
      <c r="E76" s="304">
        <f t="shared" si="34"/>
        <v>1616024</v>
      </c>
      <c r="F76" s="311">
        <f>(1200000)+416024</f>
        <v>1616024</v>
      </c>
      <c r="G76" s="311"/>
      <c r="H76" s="311"/>
      <c r="I76" s="311"/>
      <c r="J76" s="304">
        <f t="shared" si="30"/>
        <v>0</v>
      </c>
      <c r="K76" s="311"/>
      <c r="L76" s="311"/>
      <c r="M76" s="311"/>
      <c r="N76" s="311"/>
      <c r="O76" s="266">
        <f t="shared" si="33"/>
        <v>0</v>
      </c>
      <c r="P76" s="304">
        <f t="shared" si="31"/>
        <v>1616024</v>
      </c>
      <c r="R76" s="306"/>
    </row>
    <row r="77" spans="1:20" s="118" customFormat="1" ht="320.25" x14ac:dyDescent="0.2">
      <c r="A77" s="305" t="s">
        <v>545</v>
      </c>
      <c r="B77" s="305" t="s">
        <v>546</v>
      </c>
      <c r="C77" s="305" t="s">
        <v>289</v>
      </c>
      <c r="D77" s="305" t="s">
        <v>550</v>
      </c>
      <c r="E77" s="304">
        <f t="shared" si="34"/>
        <v>289523.23</v>
      </c>
      <c r="F77" s="311">
        <f>(264192)+25331.23</f>
        <v>289523.23</v>
      </c>
      <c r="G77" s="311"/>
      <c r="H77" s="311"/>
      <c r="I77" s="311"/>
      <c r="J77" s="304">
        <f t="shared" si="30"/>
        <v>0</v>
      </c>
      <c r="K77" s="311"/>
      <c r="L77" s="311"/>
      <c r="M77" s="311"/>
      <c r="N77" s="311"/>
      <c r="O77" s="266">
        <f t="shared" si="33"/>
        <v>0</v>
      </c>
      <c r="P77" s="304">
        <f t="shared" si="31"/>
        <v>289523.23</v>
      </c>
      <c r="R77" s="306"/>
    </row>
    <row r="78" spans="1:20" s="118" customFormat="1" ht="364.7" customHeight="1" x14ac:dyDescent="0.65">
      <c r="A78" s="476" t="s">
        <v>870</v>
      </c>
      <c r="B78" s="476" t="s">
        <v>871</v>
      </c>
      <c r="C78" s="476" t="s">
        <v>273</v>
      </c>
      <c r="D78" s="273" t="s">
        <v>872</v>
      </c>
      <c r="E78" s="488">
        <f t="shared" si="34"/>
        <v>249988</v>
      </c>
      <c r="F78" s="491">
        <v>249988</v>
      </c>
      <c r="G78" s="491"/>
      <c r="H78" s="491"/>
      <c r="I78" s="491"/>
      <c r="J78" s="488">
        <f t="shared" si="30"/>
        <v>0</v>
      </c>
      <c r="K78" s="491"/>
      <c r="L78" s="491"/>
      <c r="M78" s="491"/>
      <c r="N78" s="491"/>
      <c r="O78" s="491">
        <f t="shared" si="33"/>
        <v>0</v>
      </c>
      <c r="P78" s="488">
        <f t="shared" si="31"/>
        <v>249988</v>
      </c>
      <c r="Q78" s="240">
        <f>E78</f>
        <v>249988</v>
      </c>
      <c r="R78" s="240">
        <f>J78</f>
        <v>0</v>
      </c>
      <c r="T78" s="240">
        <f>K78</f>
        <v>0</v>
      </c>
    </row>
    <row r="79" spans="1:20" s="118" customFormat="1" ht="334.5" customHeight="1" x14ac:dyDescent="0.2">
      <c r="A79" s="477"/>
      <c r="B79" s="477"/>
      <c r="C79" s="477"/>
      <c r="D79" s="274" t="s">
        <v>873</v>
      </c>
      <c r="E79" s="477"/>
      <c r="F79" s="477"/>
      <c r="G79" s="477"/>
      <c r="H79" s="477"/>
      <c r="I79" s="477"/>
      <c r="J79" s="498"/>
      <c r="K79" s="477"/>
      <c r="L79" s="477"/>
      <c r="M79" s="477"/>
      <c r="N79" s="477"/>
      <c r="O79" s="477"/>
      <c r="P79" s="498"/>
      <c r="R79" s="306"/>
    </row>
    <row r="80" spans="1:20" s="118" customFormat="1" ht="137.25" x14ac:dyDescent="0.2">
      <c r="A80" s="305" t="s">
        <v>904</v>
      </c>
      <c r="B80" s="305" t="s">
        <v>905</v>
      </c>
      <c r="C80" s="305" t="s">
        <v>273</v>
      </c>
      <c r="D80" s="305" t="s">
        <v>906</v>
      </c>
      <c r="E80" s="304">
        <f t="shared" ref="E80" si="35">F80</f>
        <v>20792460.77</v>
      </c>
      <c r="F80" s="311">
        <f>(21208032)-415571.23</f>
        <v>20792460.77</v>
      </c>
      <c r="G80" s="311"/>
      <c r="H80" s="311"/>
      <c r="I80" s="311"/>
      <c r="J80" s="304">
        <f t="shared" ref="J80" si="36">L80+O80</f>
        <v>0</v>
      </c>
      <c r="K80" s="304"/>
      <c r="L80" s="311"/>
      <c r="M80" s="311"/>
      <c r="N80" s="311"/>
      <c r="O80" s="266">
        <f t="shared" ref="O80" si="37">K80</f>
        <v>0</v>
      </c>
      <c r="P80" s="304">
        <f t="shared" ref="P80" si="38">E80+J80</f>
        <v>20792460.77</v>
      </c>
      <c r="R80" s="306"/>
    </row>
    <row r="81" spans="1:18" ht="163.5" customHeight="1" x14ac:dyDescent="0.2">
      <c r="A81" s="305" t="s">
        <v>377</v>
      </c>
      <c r="B81" s="305" t="s">
        <v>368</v>
      </c>
      <c r="C81" s="305" t="s">
        <v>296</v>
      </c>
      <c r="D81" s="305" t="s">
        <v>500</v>
      </c>
      <c r="E81" s="304">
        <f t="shared" si="34"/>
        <v>152280</v>
      </c>
      <c r="F81" s="311">
        <f>(117846)+34434</f>
        <v>152280</v>
      </c>
      <c r="G81" s="311"/>
      <c r="H81" s="311"/>
      <c r="I81" s="311"/>
      <c r="J81" s="304">
        <f t="shared" si="30"/>
        <v>0</v>
      </c>
      <c r="K81" s="304"/>
      <c r="L81" s="311"/>
      <c r="M81" s="311"/>
      <c r="N81" s="311"/>
      <c r="O81" s="266">
        <f t="shared" si="33"/>
        <v>0</v>
      </c>
      <c r="P81" s="304">
        <f t="shared" si="31"/>
        <v>152280</v>
      </c>
      <c r="R81" s="306"/>
    </row>
    <row r="82" spans="1:18" ht="301.7" customHeight="1" x14ac:dyDescent="0.2">
      <c r="A82" s="305" t="s">
        <v>398</v>
      </c>
      <c r="B82" s="305" t="s">
        <v>396</v>
      </c>
      <c r="C82" s="305" t="s">
        <v>290</v>
      </c>
      <c r="D82" s="305" t="s">
        <v>35</v>
      </c>
      <c r="E82" s="304">
        <f t="shared" si="34"/>
        <v>17985684</v>
      </c>
      <c r="F82" s="311">
        <f>(17332984)+652700</f>
        <v>17985684</v>
      </c>
      <c r="G82" s="311">
        <f>(11859350)+389900</f>
        <v>12249250</v>
      </c>
      <c r="H82" s="311">
        <v>246362</v>
      </c>
      <c r="I82" s="311"/>
      <c r="J82" s="304">
        <f t="shared" si="30"/>
        <v>311900</v>
      </c>
      <c r="K82" s="311">
        <f>((175000)+30000)-82860+80360</f>
        <v>202500</v>
      </c>
      <c r="L82" s="311">
        <v>109400</v>
      </c>
      <c r="M82" s="311">
        <v>60000</v>
      </c>
      <c r="N82" s="311">
        <v>4000</v>
      </c>
      <c r="O82" s="266">
        <f t="shared" si="33"/>
        <v>202500</v>
      </c>
      <c r="P82" s="304">
        <f t="shared" si="31"/>
        <v>18297584</v>
      </c>
      <c r="R82" s="306" t="b">
        <f>K82='d5'!I51</f>
        <v>1</v>
      </c>
    </row>
    <row r="83" spans="1:18" ht="137.25" x14ac:dyDescent="0.2">
      <c r="A83" s="305" t="s">
        <v>399</v>
      </c>
      <c r="B83" s="305" t="s">
        <v>397</v>
      </c>
      <c r="C83" s="305" t="s">
        <v>289</v>
      </c>
      <c r="D83" s="305" t="s">
        <v>501</v>
      </c>
      <c r="E83" s="304">
        <f t="shared" si="34"/>
        <v>5357323</v>
      </c>
      <c r="F83" s="311">
        <f>(5162423)+194900</f>
        <v>5357323</v>
      </c>
      <c r="G83" s="311">
        <f>(3617760)+20400</f>
        <v>3638160</v>
      </c>
      <c r="H83" s="311">
        <v>286789</v>
      </c>
      <c r="I83" s="311"/>
      <c r="J83" s="304">
        <f t="shared" si="30"/>
        <v>274250</v>
      </c>
      <c r="K83" s="311">
        <v>274250</v>
      </c>
      <c r="L83" s="311"/>
      <c r="M83" s="311"/>
      <c r="N83" s="311"/>
      <c r="O83" s="266">
        <f t="shared" si="33"/>
        <v>274250</v>
      </c>
      <c r="P83" s="304">
        <f t="shared" si="31"/>
        <v>5631573</v>
      </c>
      <c r="R83" s="306" t="b">
        <f>K83='d5'!I52</f>
        <v>1</v>
      </c>
    </row>
    <row r="84" spans="1:18" ht="409.5" x14ac:dyDescent="0.2">
      <c r="A84" s="305" t="s">
        <v>394</v>
      </c>
      <c r="B84" s="305" t="s">
        <v>395</v>
      </c>
      <c r="C84" s="305" t="s">
        <v>289</v>
      </c>
      <c r="D84" s="305" t="s">
        <v>502</v>
      </c>
      <c r="E84" s="304">
        <f t="shared" si="34"/>
        <v>1554600</v>
      </c>
      <c r="F84" s="311">
        <v>1554600</v>
      </c>
      <c r="G84" s="311"/>
      <c r="H84" s="311"/>
      <c r="I84" s="311"/>
      <c r="J84" s="304">
        <f t="shared" si="30"/>
        <v>0</v>
      </c>
      <c r="K84" s="304"/>
      <c r="L84" s="311"/>
      <c r="M84" s="311"/>
      <c r="N84" s="311"/>
      <c r="O84" s="266">
        <f t="shared" si="33"/>
        <v>0</v>
      </c>
      <c r="P84" s="304">
        <f>+J84+E84</f>
        <v>1554600</v>
      </c>
      <c r="R84" s="306"/>
    </row>
    <row r="85" spans="1:18" ht="274.5" x14ac:dyDescent="0.2">
      <c r="A85" s="305" t="s">
        <v>503</v>
      </c>
      <c r="B85" s="305" t="s">
        <v>504</v>
      </c>
      <c r="C85" s="305" t="s">
        <v>289</v>
      </c>
      <c r="D85" s="305" t="s">
        <v>551</v>
      </c>
      <c r="E85" s="304">
        <f t="shared" si="34"/>
        <v>135534</v>
      </c>
      <c r="F85" s="311">
        <v>135534</v>
      </c>
      <c r="G85" s="311"/>
      <c r="H85" s="311"/>
      <c r="I85" s="311"/>
      <c r="J85" s="304">
        <f t="shared" si="30"/>
        <v>0</v>
      </c>
      <c r="K85" s="311"/>
      <c r="L85" s="311"/>
      <c r="M85" s="311"/>
      <c r="N85" s="311"/>
      <c r="O85" s="266">
        <f t="shared" si="33"/>
        <v>0</v>
      </c>
      <c r="P85" s="304">
        <f>+J85+E85</f>
        <v>135534</v>
      </c>
      <c r="R85" s="306"/>
    </row>
    <row r="86" spans="1:18" ht="112.7" customHeight="1" x14ac:dyDescent="0.2">
      <c r="A86" s="305" t="s">
        <v>505</v>
      </c>
      <c r="B86" s="305" t="s">
        <v>506</v>
      </c>
      <c r="C86" s="305" t="s">
        <v>289</v>
      </c>
      <c r="D86" s="305" t="s">
        <v>552</v>
      </c>
      <c r="E86" s="304">
        <f t="shared" si="34"/>
        <v>168</v>
      </c>
      <c r="F86" s="311">
        <v>168</v>
      </c>
      <c r="G86" s="311"/>
      <c r="H86" s="311"/>
      <c r="I86" s="311"/>
      <c r="J86" s="304">
        <f t="shared" si="30"/>
        <v>0</v>
      </c>
      <c r="K86" s="311"/>
      <c r="L86" s="311"/>
      <c r="M86" s="311"/>
      <c r="N86" s="311"/>
      <c r="O86" s="266">
        <f t="shared" si="33"/>
        <v>0</v>
      </c>
      <c r="P86" s="304">
        <f>+J86+E86</f>
        <v>168</v>
      </c>
      <c r="R86" s="306"/>
    </row>
    <row r="87" spans="1:18" ht="366" x14ac:dyDescent="0.2">
      <c r="A87" s="305" t="s">
        <v>555</v>
      </c>
      <c r="B87" s="305" t="s">
        <v>554</v>
      </c>
      <c r="C87" s="305" t="s">
        <v>79</v>
      </c>
      <c r="D87" s="305" t="s">
        <v>553</v>
      </c>
      <c r="E87" s="304">
        <f t="shared" si="34"/>
        <v>1808500</v>
      </c>
      <c r="F87" s="311">
        <v>1808500</v>
      </c>
      <c r="G87" s="311"/>
      <c r="H87" s="311"/>
      <c r="I87" s="311"/>
      <c r="J87" s="304">
        <f t="shared" si="30"/>
        <v>0</v>
      </c>
      <c r="K87" s="304"/>
      <c r="L87" s="311"/>
      <c r="M87" s="311"/>
      <c r="N87" s="311"/>
      <c r="O87" s="266">
        <f t="shared" si="33"/>
        <v>0</v>
      </c>
      <c r="P87" s="304">
        <f>E87+J87</f>
        <v>1808500</v>
      </c>
      <c r="R87" s="306"/>
    </row>
    <row r="88" spans="1:18" ht="228.75" x14ac:dyDescent="0.2">
      <c r="A88" s="305" t="s">
        <v>507</v>
      </c>
      <c r="B88" s="305" t="s">
        <v>508</v>
      </c>
      <c r="C88" s="305" t="s">
        <v>296</v>
      </c>
      <c r="D88" s="305" t="s">
        <v>556</v>
      </c>
      <c r="E88" s="304">
        <f t="shared" si="34"/>
        <v>625000</v>
      </c>
      <c r="F88" s="311">
        <f>(550000)+75000</f>
        <v>625000</v>
      </c>
      <c r="G88" s="311"/>
      <c r="H88" s="311"/>
      <c r="I88" s="311"/>
      <c r="J88" s="304">
        <f t="shared" si="30"/>
        <v>0</v>
      </c>
      <c r="K88" s="311"/>
      <c r="L88" s="311"/>
      <c r="M88" s="311"/>
      <c r="N88" s="311"/>
      <c r="O88" s="266">
        <f t="shared" si="33"/>
        <v>0</v>
      </c>
      <c r="P88" s="304">
        <f>E88+J88</f>
        <v>625000</v>
      </c>
      <c r="R88" s="306"/>
    </row>
    <row r="89" spans="1:18" ht="91.5" x14ac:dyDescent="0.2">
      <c r="A89" s="305" t="s">
        <v>766</v>
      </c>
      <c r="B89" s="305" t="s">
        <v>616</v>
      </c>
      <c r="C89" s="305" t="s">
        <v>617</v>
      </c>
      <c r="D89" s="305" t="s">
        <v>615</v>
      </c>
      <c r="E89" s="304">
        <f t="shared" si="34"/>
        <v>311000</v>
      </c>
      <c r="F89" s="311">
        <f>(250000)+61000</f>
        <v>311000</v>
      </c>
      <c r="G89" s="311">
        <f>(205000)+50000</f>
        <v>255000</v>
      </c>
      <c r="H89" s="311"/>
      <c r="I89" s="311"/>
      <c r="J89" s="304">
        <f t="shared" si="30"/>
        <v>0</v>
      </c>
      <c r="K89" s="311"/>
      <c r="L89" s="311"/>
      <c r="M89" s="311"/>
      <c r="N89" s="311"/>
      <c r="O89" s="266">
        <f t="shared" si="33"/>
        <v>0</v>
      </c>
      <c r="P89" s="304">
        <f>E89+J89</f>
        <v>311000</v>
      </c>
      <c r="R89" s="306"/>
    </row>
    <row r="90" spans="1:18" ht="409.5" x14ac:dyDescent="0.2">
      <c r="A90" s="476" t="s">
        <v>925</v>
      </c>
      <c r="B90" s="476" t="s">
        <v>926</v>
      </c>
      <c r="C90" s="476" t="s">
        <v>79</v>
      </c>
      <c r="D90" s="276" t="s">
        <v>927</v>
      </c>
      <c r="E90" s="488">
        <f t="shared" si="34"/>
        <v>0</v>
      </c>
      <c r="F90" s="491"/>
      <c r="G90" s="491"/>
      <c r="H90" s="491"/>
      <c r="I90" s="491"/>
      <c r="J90" s="488">
        <f t="shared" si="30"/>
        <v>5371203.1200000001</v>
      </c>
      <c r="K90" s="491">
        <v>5371203.1200000001</v>
      </c>
      <c r="L90" s="491"/>
      <c r="M90" s="491"/>
      <c r="N90" s="491"/>
      <c r="O90" s="493">
        <f t="shared" si="33"/>
        <v>5371203.1200000001</v>
      </c>
      <c r="P90" s="488">
        <f>E90+J90</f>
        <v>5371203.1200000001</v>
      </c>
      <c r="R90" s="499" t="b">
        <f>'d5'!I53=K90</f>
        <v>1</v>
      </c>
    </row>
    <row r="91" spans="1:18" ht="409.5" x14ac:dyDescent="0.2">
      <c r="A91" s="492"/>
      <c r="B91" s="492"/>
      <c r="C91" s="492"/>
      <c r="D91" s="276" t="s">
        <v>928</v>
      </c>
      <c r="E91" s="492"/>
      <c r="F91" s="492"/>
      <c r="G91" s="492"/>
      <c r="H91" s="492"/>
      <c r="I91" s="492"/>
      <c r="J91" s="492"/>
      <c r="K91" s="492"/>
      <c r="L91" s="492"/>
      <c r="M91" s="492"/>
      <c r="N91" s="492"/>
      <c r="O91" s="494"/>
      <c r="P91" s="492"/>
      <c r="R91" s="500"/>
    </row>
    <row r="92" spans="1:18" ht="409.5" x14ac:dyDescent="0.2">
      <c r="A92" s="477"/>
      <c r="B92" s="477"/>
      <c r="C92" s="477"/>
      <c r="D92" s="277" t="s">
        <v>929</v>
      </c>
      <c r="E92" s="477"/>
      <c r="F92" s="477"/>
      <c r="G92" s="477"/>
      <c r="H92" s="477"/>
      <c r="I92" s="477"/>
      <c r="J92" s="477"/>
      <c r="K92" s="477"/>
      <c r="L92" s="477"/>
      <c r="M92" s="477"/>
      <c r="N92" s="477"/>
      <c r="O92" s="495"/>
      <c r="P92" s="477"/>
      <c r="R92" s="500"/>
    </row>
    <row r="93" spans="1:18" ht="409.5" x14ac:dyDescent="0.2">
      <c r="A93" s="476" t="s">
        <v>930</v>
      </c>
      <c r="B93" s="476" t="s">
        <v>931</v>
      </c>
      <c r="C93" s="476" t="s">
        <v>79</v>
      </c>
      <c r="D93" s="278" t="s">
        <v>932</v>
      </c>
      <c r="E93" s="488">
        <f t="shared" ref="E93" si="39">F93</f>
        <v>0</v>
      </c>
      <c r="F93" s="491"/>
      <c r="G93" s="491"/>
      <c r="H93" s="491"/>
      <c r="I93" s="491"/>
      <c r="J93" s="488">
        <f t="shared" ref="J93" si="40">L93+O93</f>
        <v>7952988.3600000003</v>
      </c>
      <c r="K93" s="491">
        <v>7952988.3600000003</v>
      </c>
      <c r="L93" s="491"/>
      <c r="M93" s="491"/>
      <c r="N93" s="491"/>
      <c r="O93" s="493">
        <f t="shared" ref="O93" si="41">K93</f>
        <v>7952988.3600000003</v>
      </c>
      <c r="P93" s="488">
        <f>E93+J93</f>
        <v>7952988.3600000003</v>
      </c>
      <c r="R93" s="499" t="b">
        <f>K93='d5'!I60</f>
        <v>1</v>
      </c>
    </row>
    <row r="94" spans="1:18" ht="409.5" x14ac:dyDescent="0.2">
      <c r="A94" s="492"/>
      <c r="B94" s="492"/>
      <c r="C94" s="492"/>
      <c r="D94" s="277" t="s">
        <v>933</v>
      </c>
      <c r="E94" s="492"/>
      <c r="F94" s="492"/>
      <c r="G94" s="492"/>
      <c r="H94" s="492"/>
      <c r="I94" s="492"/>
      <c r="J94" s="492"/>
      <c r="K94" s="492"/>
      <c r="L94" s="492"/>
      <c r="M94" s="492"/>
      <c r="N94" s="492"/>
      <c r="O94" s="494"/>
      <c r="P94" s="492"/>
      <c r="R94" s="500"/>
    </row>
    <row r="95" spans="1:18" ht="137.25" x14ac:dyDescent="0.2">
      <c r="A95" s="477"/>
      <c r="B95" s="477"/>
      <c r="C95" s="477"/>
      <c r="D95" s="277" t="s">
        <v>934</v>
      </c>
      <c r="E95" s="477"/>
      <c r="F95" s="477"/>
      <c r="G95" s="477"/>
      <c r="H95" s="477"/>
      <c r="I95" s="477"/>
      <c r="J95" s="477"/>
      <c r="K95" s="477"/>
      <c r="L95" s="477"/>
      <c r="M95" s="477"/>
      <c r="N95" s="477"/>
      <c r="O95" s="495"/>
      <c r="P95" s="477"/>
      <c r="R95" s="500"/>
    </row>
    <row r="96" spans="1:18" ht="409.5" x14ac:dyDescent="0.2">
      <c r="A96" s="476" t="s">
        <v>393</v>
      </c>
      <c r="B96" s="476" t="s">
        <v>280</v>
      </c>
      <c r="C96" s="506" t="s">
        <v>273</v>
      </c>
      <c r="D96" s="275" t="s">
        <v>509</v>
      </c>
      <c r="E96" s="501">
        <f>F96</f>
        <v>1030700</v>
      </c>
      <c r="F96" s="491">
        <v>1030700</v>
      </c>
      <c r="G96" s="491"/>
      <c r="H96" s="491"/>
      <c r="I96" s="491"/>
      <c r="J96" s="488">
        <f t="shared" si="30"/>
        <v>0</v>
      </c>
      <c r="K96" s="488"/>
      <c r="L96" s="491"/>
      <c r="M96" s="491"/>
      <c r="N96" s="491"/>
      <c r="O96" s="493">
        <f t="shared" si="33"/>
        <v>0</v>
      </c>
      <c r="P96" s="488">
        <f>E96+J96</f>
        <v>1030700</v>
      </c>
      <c r="R96" s="306"/>
    </row>
    <row r="97" spans="1:18" ht="327.75" customHeight="1" x14ac:dyDescent="0.2">
      <c r="A97" s="492"/>
      <c r="B97" s="492"/>
      <c r="C97" s="503"/>
      <c r="D97" s="277" t="s">
        <v>778</v>
      </c>
      <c r="E97" s="502"/>
      <c r="F97" s="492"/>
      <c r="G97" s="492"/>
      <c r="H97" s="492"/>
      <c r="I97" s="492"/>
      <c r="J97" s="492"/>
      <c r="K97" s="492"/>
      <c r="L97" s="492"/>
      <c r="M97" s="492"/>
      <c r="N97" s="492"/>
      <c r="O97" s="494"/>
      <c r="P97" s="489"/>
      <c r="R97" s="306"/>
    </row>
    <row r="98" spans="1:18" ht="91.5" x14ac:dyDescent="0.2">
      <c r="A98" s="477"/>
      <c r="B98" s="477"/>
      <c r="C98" s="503"/>
      <c r="D98" s="274" t="s">
        <v>779</v>
      </c>
      <c r="E98" s="503"/>
      <c r="F98" s="477"/>
      <c r="G98" s="477"/>
      <c r="H98" s="477"/>
      <c r="I98" s="477"/>
      <c r="J98" s="477"/>
      <c r="K98" s="477"/>
      <c r="L98" s="477"/>
      <c r="M98" s="477"/>
      <c r="N98" s="477"/>
      <c r="O98" s="495"/>
      <c r="P98" s="477"/>
      <c r="R98" s="306"/>
    </row>
    <row r="99" spans="1:18" ht="183" x14ac:dyDescent="0.2">
      <c r="A99" s="305" t="s">
        <v>510</v>
      </c>
      <c r="B99" s="305" t="s">
        <v>512</v>
      </c>
      <c r="C99" s="305" t="s">
        <v>281</v>
      </c>
      <c r="D99" s="269" t="s">
        <v>514</v>
      </c>
      <c r="E99" s="304">
        <f t="shared" si="34"/>
        <v>5249475</v>
      </c>
      <c r="F99" s="311">
        <f>(4578467)+671008</f>
        <v>5249475</v>
      </c>
      <c r="G99" s="249">
        <f>(2541439)+13948</f>
        <v>2555387</v>
      </c>
      <c r="H99" s="249">
        <v>379045</v>
      </c>
      <c r="I99" s="311"/>
      <c r="J99" s="304">
        <f t="shared" ref="J99:J104" si="42">L99+O99</f>
        <v>3688330</v>
      </c>
      <c r="K99" s="311">
        <f>((1380000+650000)+874330)+300000+95000-300000+689000</f>
        <v>3688330</v>
      </c>
      <c r="L99" s="311"/>
      <c r="M99" s="311"/>
      <c r="N99" s="311"/>
      <c r="O99" s="266">
        <f t="shared" ref="O99:O104" si="43">K99</f>
        <v>3688330</v>
      </c>
      <c r="P99" s="304">
        <f t="shared" ref="P99:P104" si="44">E99+J99</f>
        <v>8937805</v>
      </c>
      <c r="R99" s="306" t="b">
        <f>K99='d5'!I63+'d5'!I64</f>
        <v>0</v>
      </c>
    </row>
    <row r="100" spans="1:18" ht="137.25" x14ac:dyDescent="0.2">
      <c r="A100" s="305" t="s">
        <v>511</v>
      </c>
      <c r="B100" s="305" t="s">
        <v>513</v>
      </c>
      <c r="C100" s="305" t="s">
        <v>281</v>
      </c>
      <c r="D100" s="269" t="s">
        <v>515</v>
      </c>
      <c r="E100" s="304">
        <f t="shared" si="34"/>
        <v>27605871</v>
      </c>
      <c r="F100" s="311">
        <f>((23486540)+199000)+561000+24836+46500+673400+7500+420100+52500-1000000+3000000+134495</f>
        <v>27605871</v>
      </c>
      <c r="G100" s="311"/>
      <c r="H100" s="311"/>
      <c r="I100" s="311"/>
      <c r="J100" s="304">
        <f t="shared" si="42"/>
        <v>419000</v>
      </c>
      <c r="K100" s="311">
        <f>(220000)+199000</f>
        <v>419000</v>
      </c>
      <c r="L100" s="311"/>
      <c r="M100" s="311"/>
      <c r="N100" s="311"/>
      <c r="O100" s="266">
        <f t="shared" si="43"/>
        <v>419000</v>
      </c>
      <c r="P100" s="304">
        <f t="shared" si="44"/>
        <v>28024871</v>
      </c>
      <c r="R100" s="306" t="b">
        <f>K100='d5'!I66+'d5'!I65</f>
        <v>1</v>
      </c>
    </row>
    <row r="101" spans="1:18" ht="137.25" x14ac:dyDescent="0.2">
      <c r="A101" s="305" t="s">
        <v>593</v>
      </c>
      <c r="B101" s="305" t="s">
        <v>591</v>
      </c>
      <c r="C101" s="305" t="s">
        <v>529</v>
      </c>
      <c r="D101" s="269" t="s">
        <v>592</v>
      </c>
      <c r="E101" s="304">
        <f t="shared" si="34"/>
        <v>0</v>
      </c>
      <c r="F101" s="311"/>
      <c r="G101" s="311"/>
      <c r="H101" s="311"/>
      <c r="I101" s="311"/>
      <c r="J101" s="304">
        <f t="shared" si="42"/>
        <v>3241964</v>
      </c>
      <c r="K101" s="311">
        <f>(3500000)-258036</f>
        <v>3241964</v>
      </c>
      <c r="L101" s="311"/>
      <c r="M101" s="311"/>
      <c r="N101" s="311"/>
      <c r="O101" s="266">
        <f t="shared" si="43"/>
        <v>3241964</v>
      </c>
      <c r="P101" s="304">
        <f t="shared" si="44"/>
        <v>3241964</v>
      </c>
      <c r="R101" s="306" t="b">
        <f>K101='d5'!I67</f>
        <v>0</v>
      </c>
    </row>
    <row r="102" spans="1:18" ht="409.5" x14ac:dyDescent="0.2">
      <c r="A102" s="305" t="s">
        <v>960</v>
      </c>
      <c r="B102" s="305" t="s">
        <v>961</v>
      </c>
      <c r="C102" s="305" t="s">
        <v>529</v>
      </c>
      <c r="D102" s="269" t="s">
        <v>959</v>
      </c>
      <c r="E102" s="304">
        <f t="shared" si="34"/>
        <v>0</v>
      </c>
      <c r="F102" s="311"/>
      <c r="G102" s="311"/>
      <c r="H102" s="311"/>
      <c r="I102" s="311"/>
      <c r="J102" s="304">
        <f t="shared" si="42"/>
        <v>530290</v>
      </c>
      <c r="K102" s="311">
        <v>530290</v>
      </c>
      <c r="L102" s="311"/>
      <c r="M102" s="311"/>
      <c r="N102" s="311"/>
      <c r="O102" s="266">
        <f t="shared" si="43"/>
        <v>530290</v>
      </c>
      <c r="P102" s="304">
        <f t="shared" si="44"/>
        <v>530290</v>
      </c>
      <c r="R102" s="306" t="b">
        <f>K102='d5'!I68</f>
        <v>1</v>
      </c>
    </row>
    <row r="103" spans="1:18" ht="91.5" x14ac:dyDescent="0.2">
      <c r="A103" s="305" t="s">
        <v>686</v>
      </c>
      <c r="B103" s="305" t="s">
        <v>687</v>
      </c>
      <c r="C103" s="305" t="s">
        <v>444</v>
      </c>
      <c r="D103" s="269" t="s">
        <v>688</v>
      </c>
      <c r="E103" s="304">
        <f t="shared" si="34"/>
        <v>0</v>
      </c>
      <c r="F103" s="311"/>
      <c r="G103" s="311"/>
      <c r="H103" s="311"/>
      <c r="I103" s="311"/>
      <c r="J103" s="304">
        <f t="shared" si="42"/>
        <v>2000000</v>
      </c>
      <c r="K103" s="311">
        <f>(1000000)+1000000</f>
        <v>2000000</v>
      </c>
      <c r="L103" s="311"/>
      <c r="M103" s="311"/>
      <c r="N103" s="311"/>
      <c r="O103" s="266">
        <f t="shared" si="43"/>
        <v>2000000</v>
      </c>
      <c r="P103" s="304">
        <f t="shared" si="44"/>
        <v>2000000</v>
      </c>
      <c r="R103" s="306" t="b">
        <f>K103='d5'!I69</f>
        <v>1</v>
      </c>
    </row>
    <row r="104" spans="1:18" ht="409.5" x14ac:dyDescent="0.2">
      <c r="A104" s="476" t="s">
        <v>723</v>
      </c>
      <c r="B104" s="476" t="s">
        <v>525</v>
      </c>
      <c r="C104" s="476" t="s">
        <v>250</v>
      </c>
      <c r="D104" s="267" t="s">
        <v>536</v>
      </c>
      <c r="E104" s="486">
        <f t="shared" si="34"/>
        <v>0</v>
      </c>
      <c r="F104" s="482"/>
      <c r="G104" s="482"/>
      <c r="H104" s="482"/>
      <c r="I104" s="482"/>
      <c r="J104" s="488">
        <f t="shared" si="42"/>
        <v>431505</v>
      </c>
      <c r="K104" s="482"/>
      <c r="L104" s="482">
        <f>(566000)-134495</f>
        <v>431505</v>
      </c>
      <c r="M104" s="482"/>
      <c r="N104" s="482"/>
      <c r="O104" s="493">
        <f t="shared" si="43"/>
        <v>0</v>
      </c>
      <c r="P104" s="486">
        <f t="shared" si="44"/>
        <v>431505</v>
      </c>
      <c r="Q104" s="115">
        <f>P104</f>
        <v>431505</v>
      </c>
      <c r="R104" s="306"/>
    </row>
    <row r="105" spans="1:18" ht="137.25" x14ac:dyDescent="0.2">
      <c r="A105" s="477"/>
      <c r="B105" s="477"/>
      <c r="C105" s="477"/>
      <c r="D105" s="268" t="s">
        <v>537</v>
      </c>
      <c r="E105" s="487"/>
      <c r="F105" s="490"/>
      <c r="G105" s="490"/>
      <c r="H105" s="490"/>
      <c r="I105" s="490"/>
      <c r="J105" s="477"/>
      <c r="K105" s="477"/>
      <c r="L105" s="490"/>
      <c r="M105" s="490"/>
      <c r="N105" s="490"/>
      <c r="O105" s="495"/>
      <c r="P105" s="487"/>
      <c r="R105" s="306"/>
    </row>
    <row r="106" spans="1:18" ht="180" x14ac:dyDescent="0.2">
      <c r="A106" s="258">
        <v>1000000</v>
      </c>
      <c r="B106" s="258"/>
      <c r="C106" s="258"/>
      <c r="D106" s="259" t="s">
        <v>43</v>
      </c>
      <c r="E106" s="260">
        <f>E107</f>
        <v>83355564</v>
      </c>
      <c r="F106" s="260">
        <f t="shared" ref="F106:G106" si="45">F107</f>
        <v>83355564</v>
      </c>
      <c r="G106" s="260">
        <f t="shared" si="45"/>
        <v>57740325</v>
      </c>
      <c r="H106" s="260">
        <f>H107</f>
        <v>3263442</v>
      </c>
      <c r="I106" s="260">
        <f t="shared" ref="I106" si="46">I107</f>
        <v>0</v>
      </c>
      <c r="J106" s="260">
        <f>J107</f>
        <v>15226334</v>
      </c>
      <c r="K106" s="260">
        <f>K107</f>
        <v>7739554</v>
      </c>
      <c r="L106" s="260">
        <f>L107</f>
        <v>7451780</v>
      </c>
      <c r="M106" s="260">
        <f t="shared" ref="M106" si="47">M107</f>
        <v>5409770</v>
      </c>
      <c r="N106" s="260">
        <f>N107</f>
        <v>197280</v>
      </c>
      <c r="O106" s="260">
        <f>O107</f>
        <v>7774554</v>
      </c>
      <c r="P106" s="260">
        <f t="shared" ref="P106" si="48">P107</f>
        <v>98581898</v>
      </c>
    </row>
    <row r="107" spans="1:18" ht="180" x14ac:dyDescent="0.2">
      <c r="A107" s="261">
        <v>1010000</v>
      </c>
      <c r="B107" s="261"/>
      <c r="C107" s="261"/>
      <c r="D107" s="262" t="s">
        <v>62</v>
      </c>
      <c r="E107" s="263">
        <f>F107</f>
        <v>83355564</v>
      </c>
      <c r="F107" s="263">
        <f>SUM(F108:F115)</f>
        <v>83355564</v>
      </c>
      <c r="G107" s="263">
        <f t="shared" ref="G107:I107" si="49">SUM(G108:G115)</f>
        <v>57740325</v>
      </c>
      <c r="H107" s="263">
        <f t="shared" si="49"/>
        <v>3263442</v>
      </c>
      <c r="I107" s="263">
        <f t="shared" si="49"/>
        <v>0</v>
      </c>
      <c r="J107" s="263">
        <f t="shared" ref="J107:J115" si="50">L107+O107</f>
        <v>15226334</v>
      </c>
      <c r="K107" s="263">
        <f t="shared" ref="K107:O107" si="51">SUM(K108:K115)</f>
        <v>7739554</v>
      </c>
      <c r="L107" s="263">
        <f t="shared" si="51"/>
        <v>7451780</v>
      </c>
      <c r="M107" s="263">
        <f t="shared" si="51"/>
        <v>5409770</v>
      </c>
      <c r="N107" s="263">
        <f t="shared" si="51"/>
        <v>197280</v>
      </c>
      <c r="O107" s="263">
        <f t="shared" si="51"/>
        <v>7774554</v>
      </c>
      <c r="P107" s="263">
        <f t="shared" ref="P107:P114" si="52">E107+J107</f>
        <v>98581898</v>
      </c>
      <c r="Q107" s="146" t="b">
        <f>P107=P108+P109+P110+P111+P112+P113+P114+P115</f>
        <v>1</v>
      </c>
      <c r="R107" s="306" t="b">
        <f>K107='d5'!I71</f>
        <v>1</v>
      </c>
    </row>
    <row r="108" spans="1:18" ht="274.5" x14ac:dyDescent="0.2">
      <c r="A108" s="305" t="s">
        <v>34</v>
      </c>
      <c r="B108" s="305" t="s">
        <v>268</v>
      </c>
      <c r="C108" s="305" t="s">
        <v>269</v>
      </c>
      <c r="D108" s="305" t="s">
        <v>267</v>
      </c>
      <c r="E108" s="304">
        <f>F108</f>
        <v>47590215</v>
      </c>
      <c r="F108" s="311">
        <f>((46221680)+69535)+1065000+234000</f>
        <v>47590215</v>
      </c>
      <c r="G108" s="311">
        <f>(35856900)+1065000</f>
        <v>36921900</v>
      </c>
      <c r="H108" s="311">
        <f>(1907060)+69535</f>
        <v>1976595</v>
      </c>
      <c r="I108" s="311"/>
      <c r="J108" s="304">
        <f t="shared" si="50"/>
        <v>7699484</v>
      </c>
      <c r="K108" s="311">
        <f>((386442)+1046562)-400000-164900</f>
        <v>868104</v>
      </c>
      <c r="L108" s="311">
        <v>6805480</v>
      </c>
      <c r="M108" s="311">
        <v>5170040</v>
      </c>
      <c r="N108" s="311">
        <v>138080</v>
      </c>
      <c r="O108" s="266">
        <f>K108+25900</f>
        <v>894004</v>
      </c>
      <c r="P108" s="304">
        <f t="shared" si="52"/>
        <v>55289699</v>
      </c>
      <c r="R108" s="306" t="b">
        <f>K108='d5'!I72+'d5'!I73</f>
        <v>1</v>
      </c>
    </row>
    <row r="109" spans="1:18" ht="46.5" x14ac:dyDescent="0.2">
      <c r="A109" s="305" t="s">
        <v>251</v>
      </c>
      <c r="B109" s="305" t="s">
        <v>252</v>
      </c>
      <c r="C109" s="305" t="s">
        <v>255</v>
      </c>
      <c r="D109" s="305" t="s">
        <v>256</v>
      </c>
      <c r="E109" s="304">
        <f t="shared" ref="E109:E112" si="53">F109</f>
        <v>726700</v>
      </c>
      <c r="F109" s="311">
        <v>726700</v>
      </c>
      <c r="G109" s="311"/>
      <c r="H109" s="311"/>
      <c r="I109" s="311"/>
      <c r="J109" s="304">
        <f t="shared" si="50"/>
        <v>0</v>
      </c>
      <c r="K109" s="311"/>
      <c r="L109" s="311"/>
      <c r="M109" s="311"/>
      <c r="N109" s="311"/>
      <c r="O109" s="266">
        <f>K109</f>
        <v>0</v>
      </c>
      <c r="P109" s="304">
        <f t="shared" si="52"/>
        <v>726700</v>
      </c>
      <c r="R109" s="306"/>
    </row>
    <row r="110" spans="1:18" ht="91.5" x14ac:dyDescent="0.2">
      <c r="A110" s="305" t="s">
        <v>257</v>
      </c>
      <c r="B110" s="305" t="s">
        <v>258</v>
      </c>
      <c r="C110" s="305" t="s">
        <v>259</v>
      </c>
      <c r="D110" s="305" t="s">
        <v>260</v>
      </c>
      <c r="E110" s="304">
        <f t="shared" si="53"/>
        <v>7945270</v>
      </c>
      <c r="F110" s="311">
        <f>((7716225)+80300)+148745</f>
        <v>7945270</v>
      </c>
      <c r="G110" s="311">
        <v>5790700</v>
      </c>
      <c r="H110" s="311">
        <v>459705</v>
      </c>
      <c r="I110" s="311"/>
      <c r="J110" s="304">
        <f t="shared" si="50"/>
        <v>716950</v>
      </c>
      <c r="K110" s="311">
        <v>631950</v>
      </c>
      <c r="L110" s="311">
        <v>85000</v>
      </c>
      <c r="M110" s="311">
        <v>9800</v>
      </c>
      <c r="N110" s="311">
        <v>18500</v>
      </c>
      <c r="O110" s="266">
        <f>K110</f>
        <v>631950</v>
      </c>
      <c r="P110" s="304">
        <f t="shared" si="52"/>
        <v>8662220</v>
      </c>
      <c r="R110" s="306" t="b">
        <f>K110='d5'!I74</f>
        <v>1</v>
      </c>
    </row>
    <row r="111" spans="1:18" ht="91.5" x14ac:dyDescent="0.2">
      <c r="A111" s="305" t="s">
        <v>261</v>
      </c>
      <c r="B111" s="305" t="s">
        <v>262</v>
      </c>
      <c r="C111" s="305" t="s">
        <v>259</v>
      </c>
      <c r="D111" s="305" t="s">
        <v>263</v>
      </c>
      <c r="E111" s="304">
        <f t="shared" si="53"/>
        <v>1220535</v>
      </c>
      <c r="F111" s="311">
        <v>1220535</v>
      </c>
      <c r="G111" s="311">
        <v>796025</v>
      </c>
      <c r="H111" s="311">
        <v>201670</v>
      </c>
      <c r="I111" s="311"/>
      <c r="J111" s="304">
        <f t="shared" si="50"/>
        <v>5075000</v>
      </c>
      <c r="K111" s="311">
        <f>(3000000)+2000000</f>
        <v>5000000</v>
      </c>
      <c r="L111" s="311">
        <v>75000</v>
      </c>
      <c r="M111" s="311">
        <v>6100</v>
      </c>
      <c r="N111" s="311">
        <v>3300</v>
      </c>
      <c r="O111" s="266">
        <f>K111</f>
        <v>5000000</v>
      </c>
      <c r="P111" s="304">
        <f t="shared" si="52"/>
        <v>6295535</v>
      </c>
      <c r="R111" s="306" t="b">
        <f>K111='d5'!I75+'d5'!I76</f>
        <v>1</v>
      </c>
    </row>
    <row r="112" spans="1:18" ht="183" x14ac:dyDescent="0.2">
      <c r="A112" s="305" t="s">
        <v>264</v>
      </c>
      <c r="B112" s="305" t="s">
        <v>253</v>
      </c>
      <c r="C112" s="305" t="s">
        <v>265</v>
      </c>
      <c r="D112" s="305" t="s">
        <v>266</v>
      </c>
      <c r="E112" s="304">
        <f t="shared" si="53"/>
        <v>5924182</v>
      </c>
      <c r="F112" s="311">
        <f>((5699642)+116500)+108040</f>
        <v>5924182</v>
      </c>
      <c r="G112" s="311">
        <v>4068700</v>
      </c>
      <c r="H112" s="311">
        <v>590742</v>
      </c>
      <c r="I112" s="311"/>
      <c r="J112" s="304">
        <f t="shared" si="50"/>
        <v>1555400</v>
      </c>
      <c r="K112" s="311">
        <f>(500000)+690000</f>
        <v>1190000</v>
      </c>
      <c r="L112" s="311">
        <v>356300</v>
      </c>
      <c r="M112" s="311">
        <v>218030</v>
      </c>
      <c r="N112" s="311">
        <v>37400</v>
      </c>
      <c r="O112" s="266">
        <f>K112+9100</f>
        <v>1199100</v>
      </c>
      <c r="P112" s="304">
        <f t="shared" si="52"/>
        <v>7479582</v>
      </c>
      <c r="R112" s="306" t="b">
        <f>K112='d5'!I77</f>
        <v>1</v>
      </c>
    </row>
    <row r="113" spans="1:18" ht="137.25" x14ac:dyDescent="0.2">
      <c r="A113" s="305" t="s">
        <v>517</v>
      </c>
      <c r="B113" s="305" t="s">
        <v>518</v>
      </c>
      <c r="C113" s="305" t="s">
        <v>270</v>
      </c>
      <c r="D113" s="305" t="s">
        <v>516</v>
      </c>
      <c r="E113" s="304">
        <f>F113</f>
        <v>13283762</v>
      </c>
      <c r="F113" s="311">
        <f>(13266262)+17500</f>
        <v>13283762</v>
      </c>
      <c r="G113" s="311">
        <v>10163000</v>
      </c>
      <c r="H113" s="311">
        <v>34730</v>
      </c>
      <c r="I113" s="311"/>
      <c r="J113" s="304">
        <f t="shared" si="50"/>
        <v>130000</v>
      </c>
      <c r="K113" s="311"/>
      <c r="L113" s="311">
        <v>130000</v>
      </c>
      <c r="M113" s="311">
        <v>5800</v>
      </c>
      <c r="N113" s="311"/>
      <c r="O113" s="266">
        <f>K113</f>
        <v>0</v>
      </c>
      <c r="P113" s="304">
        <f t="shared" si="52"/>
        <v>13413762</v>
      </c>
      <c r="R113" s="306"/>
    </row>
    <row r="114" spans="1:18" ht="91.5" x14ac:dyDescent="0.2">
      <c r="A114" s="305" t="s">
        <v>519</v>
      </c>
      <c r="B114" s="305" t="s">
        <v>520</v>
      </c>
      <c r="C114" s="305" t="s">
        <v>270</v>
      </c>
      <c r="D114" s="305" t="s">
        <v>521</v>
      </c>
      <c r="E114" s="304">
        <f>F114</f>
        <v>6664900</v>
      </c>
      <c r="F114" s="311">
        <f>((6000000)+300000)+200000+164900</f>
        <v>6664900</v>
      </c>
      <c r="G114" s="311"/>
      <c r="H114" s="311"/>
      <c r="I114" s="311"/>
      <c r="J114" s="304">
        <f t="shared" si="50"/>
        <v>0</v>
      </c>
      <c r="K114" s="311"/>
      <c r="L114" s="311"/>
      <c r="M114" s="311"/>
      <c r="N114" s="311"/>
      <c r="O114" s="266">
        <f>K114</f>
        <v>0</v>
      </c>
      <c r="P114" s="304">
        <f t="shared" si="52"/>
        <v>6664900</v>
      </c>
      <c r="R114" s="306"/>
    </row>
    <row r="115" spans="1:18" ht="91.5" x14ac:dyDescent="0.2">
      <c r="A115" s="305" t="s">
        <v>828</v>
      </c>
      <c r="B115" s="305" t="s">
        <v>287</v>
      </c>
      <c r="C115" s="305" t="s">
        <v>250</v>
      </c>
      <c r="D115" s="305" t="s">
        <v>57</v>
      </c>
      <c r="E115" s="257">
        <f t="shared" ref="E115" si="54">F115</f>
        <v>0</v>
      </c>
      <c r="F115" s="249"/>
      <c r="G115" s="249"/>
      <c r="H115" s="249"/>
      <c r="I115" s="249"/>
      <c r="J115" s="304">
        <f t="shared" si="50"/>
        <v>49500</v>
      </c>
      <c r="K115" s="311">
        <f>(25000)+24500</f>
        <v>49500</v>
      </c>
      <c r="L115" s="249"/>
      <c r="M115" s="249"/>
      <c r="N115" s="249"/>
      <c r="O115" s="266">
        <f t="shared" ref="O115" si="55">K115</f>
        <v>49500</v>
      </c>
      <c r="P115" s="304">
        <f>E115+J115</f>
        <v>49500</v>
      </c>
      <c r="R115" s="306" t="b">
        <f>K115='d5'!I78</f>
        <v>1</v>
      </c>
    </row>
    <row r="116" spans="1:18" ht="135" x14ac:dyDescent="0.2">
      <c r="A116" s="258" t="s">
        <v>40</v>
      </c>
      <c r="B116" s="258"/>
      <c r="C116" s="258"/>
      <c r="D116" s="259" t="s">
        <v>41</v>
      </c>
      <c r="E116" s="260">
        <f>E117</f>
        <v>54119325</v>
      </c>
      <c r="F116" s="260">
        <f t="shared" ref="F116:G116" si="56">F117</f>
        <v>54119325</v>
      </c>
      <c r="G116" s="260">
        <f t="shared" si="56"/>
        <v>18457724</v>
      </c>
      <c r="H116" s="260">
        <f>H117</f>
        <v>1640593</v>
      </c>
      <c r="I116" s="260">
        <f t="shared" ref="I116" si="57">I117</f>
        <v>0</v>
      </c>
      <c r="J116" s="260">
        <f>J117</f>
        <v>5151984</v>
      </c>
      <c r="K116" s="260">
        <f>K117</f>
        <v>3135340</v>
      </c>
      <c r="L116" s="260">
        <f>L117</f>
        <v>2016644</v>
      </c>
      <c r="M116" s="260">
        <f t="shared" ref="M116" si="58">M117</f>
        <v>912155</v>
      </c>
      <c r="N116" s="260">
        <f>N117</f>
        <v>345236</v>
      </c>
      <c r="O116" s="260">
        <f>O117</f>
        <v>3135340</v>
      </c>
      <c r="P116" s="260">
        <f t="shared" ref="P116" si="59">P117</f>
        <v>59271309</v>
      </c>
    </row>
    <row r="117" spans="1:18" ht="135" x14ac:dyDescent="0.2">
      <c r="A117" s="261" t="s">
        <v>39</v>
      </c>
      <c r="B117" s="261"/>
      <c r="C117" s="261"/>
      <c r="D117" s="262" t="s">
        <v>58</v>
      </c>
      <c r="E117" s="263">
        <f>SUM(E118:E131)</f>
        <v>54119325</v>
      </c>
      <c r="F117" s="263">
        <f>SUM(F118:F131)</f>
        <v>54119325</v>
      </c>
      <c r="G117" s="263">
        <f>SUM(G118:G131)</f>
        <v>18457724</v>
      </c>
      <c r="H117" s="263">
        <f>SUM(H118:H131)</f>
        <v>1640593</v>
      </c>
      <c r="I117" s="263">
        <f>SUM(I118:I131)</f>
        <v>0</v>
      </c>
      <c r="J117" s="263">
        <f t="shared" ref="J117:J130" si="60">L117+O117</f>
        <v>5151984</v>
      </c>
      <c r="K117" s="263">
        <f>SUM(K118:K131)</f>
        <v>3135340</v>
      </c>
      <c r="L117" s="263">
        <f>SUM(L118:L131)</f>
        <v>2016644</v>
      </c>
      <c r="M117" s="263">
        <f>SUM(M118:M131)</f>
        <v>912155</v>
      </c>
      <c r="N117" s="263">
        <f>SUM(N118:N131)</f>
        <v>345236</v>
      </c>
      <c r="O117" s="263">
        <f>SUM(O118:O131)</f>
        <v>3135340</v>
      </c>
      <c r="P117" s="263">
        <f>E117+J117</f>
        <v>59271309</v>
      </c>
      <c r="Q117" s="146" t="b">
        <f>P117=P118+P119+P120+P121+P122+P123+P124+P125+P126+P127+P129+P130+P128+P131</f>
        <v>1</v>
      </c>
      <c r="R117" s="306" t="b">
        <f>K117='d5'!I80</f>
        <v>0</v>
      </c>
    </row>
    <row r="118" spans="1:18" ht="137.25" x14ac:dyDescent="0.2">
      <c r="A118" s="305" t="s">
        <v>271</v>
      </c>
      <c r="B118" s="305" t="s">
        <v>272</v>
      </c>
      <c r="C118" s="305" t="s">
        <v>273</v>
      </c>
      <c r="D118" s="305" t="s">
        <v>274</v>
      </c>
      <c r="E118" s="257">
        <f t="shared" ref="E118:E128" si="61">F118</f>
        <v>3511988</v>
      </c>
      <c r="F118" s="249">
        <f>((3278423)+114920)+97250+21395</f>
        <v>3511988</v>
      </c>
      <c r="G118" s="249">
        <f>((2517500)+82000)+97250</f>
        <v>2696750</v>
      </c>
      <c r="H118" s="249">
        <v>66793</v>
      </c>
      <c r="I118" s="249"/>
      <c r="J118" s="304">
        <f t="shared" si="60"/>
        <v>53278</v>
      </c>
      <c r="K118" s="249">
        <v>53278</v>
      </c>
      <c r="L118" s="264"/>
      <c r="M118" s="264"/>
      <c r="N118" s="264"/>
      <c r="O118" s="266">
        <f t="shared" ref="O118:O130" si="62">K118</f>
        <v>53278</v>
      </c>
      <c r="P118" s="304">
        <f>+J118+E118</f>
        <v>3565266</v>
      </c>
      <c r="Q118" s="306"/>
      <c r="R118" s="306" t="b">
        <f>K118='d5'!I81</f>
        <v>0</v>
      </c>
    </row>
    <row r="119" spans="1:18" ht="228.75" x14ac:dyDescent="0.2">
      <c r="A119" s="305" t="s">
        <v>72</v>
      </c>
      <c r="B119" s="305" t="s">
        <v>254</v>
      </c>
      <c r="C119" s="305" t="s">
        <v>273</v>
      </c>
      <c r="D119" s="305" t="s">
        <v>22</v>
      </c>
      <c r="E119" s="257">
        <f t="shared" si="61"/>
        <v>1225790</v>
      </c>
      <c r="F119" s="249">
        <f>(875790)+350000</f>
        <v>1225790</v>
      </c>
      <c r="G119" s="249"/>
      <c r="H119" s="249"/>
      <c r="I119" s="249"/>
      <c r="J119" s="304">
        <f t="shared" si="60"/>
        <v>0</v>
      </c>
      <c r="K119" s="249"/>
      <c r="L119" s="264"/>
      <c r="M119" s="264"/>
      <c r="N119" s="264"/>
      <c r="O119" s="266">
        <f t="shared" si="62"/>
        <v>0</v>
      </c>
      <c r="P119" s="304">
        <f>+J119+E119</f>
        <v>1225790</v>
      </c>
      <c r="R119" s="306"/>
    </row>
    <row r="120" spans="1:18" ht="91.5" x14ac:dyDescent="0.2">
      <c r="A120" s="305" t="s">
        <v>278</v>
      </c>
      <c r="B120" s="305" t="s">
        <v>279</v>
      </c>
      <c r="C120" s="305" t="s">
        <v>273</v>
      </c>
      <c r="D120" s="305" t="s">
        <v>23</v>
      </c>
      <c r="E120" s="257">
        <f t="shared" si="61"/>
        <v>3318391</v>
      </c>
      <c r="F120" s="249">
        <f>((3054118)+225250)+16100+23200-23200+22923</f>
        <v>3318391</v>
      </c>
      <c r="G120" s="249">
        <f>((1623800)+160000)+16100+23200</f>
        <v>1823100</v>
      </c>
      <c r="H120" s="249">
        <v>438288</v>
      </c>
      <c r="I120" s="249"/>
      <c r="J120" s="304">
        <f t="shared" si="60"/>
        <v>1414055</v>
      </c>
      <c r="K120" s="249">
        <f>((592430)+551506)+48687-120556+8000+8988</f>
        <v>1089055</v>
      </c>
      <c r="L120" s="264">
        <v>325000</v>
      </c>
      <c r="M120" s="264">
        <f>(189100)-34100</f>
        <v>155000</v>
      </c>
      <c r="N120" s="264">
        <v>89400</v>
      </c>
      <c r="O120" s="266">
        <f t="shared" si="62"/>
        <v>1089055</v>
      </c>
      <c r="P120" s="304">
        <f t="shared" ref="P120:P131" si="63">E120+J120</f>
        <v>4732446</v>
      </c>
      <c r="R120" s="306" t="b">
        <f>K120='d5'!I82+'d5'!I83+'d5'!I84</f>
        <v>1</v>
      </c>
    </row>
    <row r="121" spans="1:18" ht="91.5" x14ac:dyDescent="0.2">
      <c r="A121" s="305" t="s">
        <v>560</v>
      </c>
      <c r="B121" s="305" t="s">
        <v>561</v>
      </c>
      <c r="C121" s="305" t="s">
        <v>273</v>
      </c>
      <c r="D121" s="305" t="s">
        <v>562</v>
      </c>
      <c r="E121" s="257">
        <f t="shared" si="61"/>
        <v>6005396</v>
      </c>
      <c r="F121" s="249">
        <f>((5640576+301303)+363517)-200000-100000</f>
        <v>6005396</v>
      </c>
      <c r="G121" s="249">
        <v>714843</v>
      </c>
      <c r="H121" s="249">
        <v>110000</v>
      </c>
      <c r="I121" s="249"/>
      <c r="J121" s="304">
        <f t="shared" si="60"/>
        <v>1276503</v>
      </c>
      <c r="K121" s="249">
        <f>((816103)+550600)-120200+30000</f>
        <v>1276503</v>
      </c>
      <c r="L121" s="264"/>
      <c r="M121" s="264"/>
      <c r="N121" s="264"/>
      <c r="O121" s="266">
        <f t="shared" si="62"/>
        <v>1276503</v>
      </c>
      <c r="P121" s="304">
        <f t="shared" si="63"/>
        <v>7281899</v>
      </c>
      <c r="R121" s="306" t="b">
        <f>K121='d5'!I85</f>
        <v>1</v>
      </c>
    </row>
    <row r="122" spans="1:18" ht="137.25" x14ac:dyDescent="0.2">
      <c r="A122" s="305" t="s">
        <v>73</v>
      </c>
      <c r="B122" s="305" t="s">
        <v>275</v>
      </c>
      <c r="C122" s="305" t="s">
        <v>285</v>
      </c>
      <c r="D122" s="305" t="s">
        <v>74</v>
      </c>
      <c r="E122" s="257">
        <f t="shared" si="61"/>
        <v>12196475</v>
      </c>
      <c r="F122" s="249">
        <f>((10002475)+44000)+2000000+150000</f>
        <v>12196475</v>
      </c>
      <c r="G122" s="311"/>
      <c r="H122" s="311"/>
      <c r="I122" s="311"/>
      <c r="J122" s="304">
        <f t="shared" si="60"/>
        <v>0</v>
      </c>
      <c r="K122" s="311"/>
      <c r="L122" s="311"/>
      <c r="M122" s="311"/>
      <c r="N122" s="311"/>
      <c r="O122" s="266">
        <f t="shared" si="62"/>
        <v>0</v>
      </c>
      <c r="P122" s="304">
        <f t="shared" si="63"/>
        <v>12196475</v>
      </c>
      <c r="R122" s="306"/>
    </row>
    <row r="123" spans="1:18" ht="137.25" x14ac:dyDescent="0.2">
      <c r="A123" s="305" t="s">
        <v>75</v>
      </c>
      <c r="B123" s="305" t="s">
        <v>276</v>
      </c>
      <c r="C123" s="305" t="s">
        <v>285</v>
      </c>
      <c r="D123" s="305" t="s">
        <v>6</v>
      </c>
      <c r="E123" s="257">
        <f t="shared" si="61"/>
        <v>1807513</v>
      </c>
      <c r="F123" s="249">
        <f>((1727513)+30000)+50000</f>
        <v>1807513</v>
      </c>
      <c r="G123" s="311"/>
      <c r="H123" s="311"/>
      <c r="I123" s="311"/>
      <c r="J123" s="304">
        <f t="shared" si="60"/>
        <v>0</v>
      </c>
      <c r="K123" s="311"/>
      <c r="L123" s="311"/>
      <c r="M123" s="311"/>
      <c r="N123" s="311"/>
      <c r="O123" s="266">
        <f t="shared" si="62"/>
        <v>0</v>
      </c>
      <c r="P123" s="304">
        <f t="shared" si="63"/>
        <v>1807513</v>
      </c>
      <c r="R123" s="306"/>
    </row>
    <row r="124" spans="1:18" ht="183" x14ac:dyDescent="0.2">
      <c r="A124" s="305" t="s">
        <v>76</v>
      </c>
      <c r="B124" s="305" t="s">
        <v>277</v>
      </c>
      <c r="C124" s="305" t="s">
        <v>285</v>
      </c>
      <c r="D124" s="305" t="s">
        <v>557</v>
      </c>
      <c r="E124" s="257">
        <f>F124</f>
        <v>53014</v>
      </c>
      <c r="F124" s="249">
        <v>53014</v>
      </c>
      <c r="G124" s="249"/>
      <c r="H124" s="249"/>
      <c r="I124" s="311"/>
      <c r="J124" s="304">
        <f t="shared" si="60"/>
        <v>0</v>
      </c>
      <c r="K124" s="311"/>
      <c r="L124" s="249"/>
      <c r="M124" s="249"/>
      <c r="N124" s="249"/>
      <c r="O124" s="266">
        <f t="shared" si="62"/>
        <v>0</v>
      </c>
      <c r="P124" s="304">
        <f t="shared" si="63"/>
        <v>53014</v>
      </c>
      <c r="R124" s="306"/>
    </row>
    <row r="125" spans="1:18" ht="183" x14ac:dyDescent="0.2">
      <c r="A125" s="305" t="s">
        <v>49</v>
      </c>
      <c r="B125" s="305" t="s">
        <v>282</v>
      </c>
      <c r="C125" s="305" t="s">
        <v>285</v>
      </c>
      <c r="D125" s="305" t="s">
        <v>77</v>
      </c>
      <c r="E125" s="257">
        <f t="shared" si="61"/>
        <v>18783097</v>
      </c>
      <c r="F125" s="249">
        <f>((18126095)+615012)+54454+11980+47000+35190+6800-54454-11980-47000</f>
        <v>18783097</v>
      </c>
      <c r="G125" s="249">
        <f>(12402731)+54454-54454</f>
        <v>12402731</v>
      </c>
      <c r="H125" s="249">
        <v>1025512</v>
      </c>
      <c r="I125" s="249"/>
      <c r="J125" s="304">
        <f t="shared" si="60"/>
        <v>2266444</v>
      </c>
      <c r="K125" s="249">
        <f>(519800)+97000</f>
        <v>616800</v>
      </c>
      <c r="L125" s="249">
        <v>1649644</v>
      </c>
      <c r="M125" s="249">
        <v>757155</v>
      </c>
      <c r="N125" s="249">
        <f>255836</f>
        <v>255836</v>
      </c>
      <c r="O125" s="266">
        <f t="shared" si="62"/>
        <v>616800</v>
      </c>
      <c r="P125" s="304">
        <f t="shared" si="63"/>
        <v>21049541</v>
      </c>
      <c r="R125" s="306" t="b">
        <f>K125='d5'!I86+'d5'!I87</f>
        <v>0</v>
      </c>
    </row>
    <row r="126" spans="1:18" ht="183" x14ac:dyDescent="0.2">
      <c r="A126" s="305" t="s">
        <v>50</v>
      </c>
      <c r="B126" s="305" t="s">
        <v>283</v>
      </c>
      <c r="C126" s="305" t="s">
        <v>285</v>
      </c>
      <c r="D126" s="305" t="s">
        <v>78</v>
      </c>
      <c r="E126" s="257">
        <f t="shared" si="61"/>
        <v>4254685</v>
      </c>
      <c r="F126" s="249">
        <v>4254685</v>
      </c>
      <c r="G126" s="249"/>
      <c r="H126" s="249"/>
      <c r="I126" s="249"/>
      <c r="J126" s="304">
        <f t="shared" si="60"/>
        <v>0</v>
      </c>
      <c r="K126" s="249"/>
      <c r="L126" s="249"/>
      <c r="M126" s="249"/>
      <c r="N126" s="249"/>
      <c r="O126" s="266">
        <f t="shared" si="62"/>
        <v>0</v>
      </c>
      <c r="P126" s="304">
        <f t="shared" si="63"/>
        <v>4254685</v>
      </c>
      <c r="R126" s="306"/>
    </row>
    <row r="127" spans="1:18" ht="274.5" x14ac:dyDescent="0.2">
      <c r="A127" s="279" t="s">
        <v>51</v>
      </c>
      <c r="B127" s="279" t="s">
        <v>284</v>
      </c>
      <c r="C127" s="279" t="s">
        <v>285</v>
      </c>
      <c r="D127" s="305" t="s">
        <v>52</v>
      </c>
      <c r="E127" s="257">
        <f t="shared" si="61"/>
        <v>1585766</v>
      </c>
      <c r="F127" s="249">
        <f>((1500611)-44000)+129155</f>
        <v>1585766</v>
      </c>
      <c r="G127" s="311"/>
      <c r="H127" s="311"/>
      <c r="I127" s="311"/>
      <c r="J127" s="304">
        <f t="shared" si="60"/>
        <v>0</v>
      </c>
      <c r="K127" s="311"/>
      <c r="L127" s="311"/>
      <c r="M127" s="311"/>
      <c r="N127" s="311"/>
      <c r="O127" s="266">
        <f t="shared" si="62"/>
        <v>0</v>
      </c>
      <c r="P127" s="304">
        <f t="shared" si="63"/>
        <v>1585766</v>
      </c>
      <c r="R127" s="306"/>
    </row>
    <row r="128" spans="1:18" ht="183" x14ac:dyDescent="0.2">
      <c r="A128" s="305" t="s">
        <v>952</v>
      </c>
      <c r="B128" s="305" t="s">
        <v>953</v>
      </c>
      <c r="C128" s="305" t="s">
        <v>285</v>
      </c>
      <c r="D128" s="305" t="s">
        <v>954</v>
      </c>
      <c r="E128" s="257">
        <f t="shared" si="61"/>
        <v>68296</v>
      </c>
      <c r="F128" s="249">
        <v>68296</v>
      </c>
      <c r="G128" s="249"/>
      <c r="H128" s="249"/>
      <c r="I128" s="249"/>
      <c r="J128" s="304">
        <f t="shared" si="60"/>
        <v>0</v>
      </c>
      <c r="K128" s="249"/>
      <c r="L128" s="249"/>
      <c r="M128" s="249"/>
      <c r="N128" s="249"/>
      <c r="O128" s="266">
        <f t="shared" si="62"/>
        <v>0</v>
      </c>
      <c r="P128" s="304">
        <f t="shared" si="63"/>
        <v>68296</v>
      </c>
      <c r="R128" s="306"/>
    </row>
    <row r="129" spans="1:18" ht="91.5" x14ac:dyDescent="0.2">
      <c r="A129" s="279" t="s">
        <v>53</v>
      </c>
      <c r="B129" s="279" t="s">
        <v>286</v>
      </c>
      <c r="C129" s="279" t="s">
        <v>285</v>
      </c>
      <c r="D129" s="305" t="s">
        <v>54</v>
      </c>
      <c r="E129" s="257">
        <f>F129</f>
        <v>1287914</v>
      </c>
      <c r="F129" s="249">
        <f>((1179249)+88165)+7000+1500+12000</f>
        <v>1287914</v>
      </c>
      <c r="G129" s="311">
        <f>(813300)+7000</f>
        <v>820300</v>
      </c>
      <c r="H129" s="311"/>
      <c r="I129" s="311"/>
      <c r="J129" s="304">
        <f t="shared" si="60"/>
        <v>42000</v>
      </c>
      <c r="K129" s="311"/>
      <c r="L129" s="311">
        <v>42000</v>
      </c>
      <c r="M129" s="311"/>
      <c r="N129" s="311"/>
      <c r="O129" s="266">
        <f t="shared" si="62"/>
        <v>0</v>
      </c>
      <c r="P129" s="304">
        <f t="shared" si="63"/>
        <v>1329914</v>
      </c>
      <c r="R129" s="306"/>
    </row>
    <row r="130" spans="1:18" ht="274.5" x14ac:dyDescent="0.2">
      <c r="A130" s="279" t="s">
        <v>531</v>
      </c>
      <c r="B130" s="279" t="s">
        <v>530</v>
      </c>
      <c r="C130" s="279" t="s">
        <v>529</v>
      </c>
      <c r="D130" s="305" t="s">
        <v>528</v>
      </c>
      <c r="E130" s="257">
        <f>F130</f>
        <v>21000</v>
      </c>
      <c r="F130" s="249">
        <v>21000</v>
      </c>
      <c r="G130" s="311"/>
      <c r="H130" s="311"/>
      <c r="I130" s="311"/>
      <c r="J130" s="304">
        <f t="shared" si="60"/>
        <v>0</v>
      </c>
      <c r="K130" s="311"/>
      <c r="L130" s="311"/>
      <c r="M130" s="311"/>
      <c r="N130" s="311"/>
      <c r="O130" s="266">
        <f t="shared" si="62"/>
        <v>0</v>
      </c>
      <c r="P130" s="304">
        <f t="shared" si="63"/>
        <v>21000</v>
      </c>
      <c r="R130" s="306"/>
    </row>
    <row r="131" spans="1:18" ht="91.5" x14ac:dyDescent="0.2">
      <c r="A131" s="305" t="s">
        <v>876</v>
      </c>
      <c r="B131" s="305" t="s">
        <v>287</v>
      </c>
      <c r="C131" s="305" t="s">
        <v>250</v>
      </c>
      <c r="D131" s="305" t="s">
        <v>57</v>
      </c>
      <c r="E131" s="257">
        <f>F131</f>
        <v>0</v>
      </c>
      <c r="F131" s="249">
        <f>30000-30000</f>
        <v>0</v>
      </c>
      <c r="G131" s="249"/>
      <c r="H131" s="249"/>
      <c r="I131" s="249"/>
      <c r="J131" s="304">
        <f>L131+O131</f>
        <v>99704</v>
      </c>
      <c r="K131" s="311">
        <v>99704</v>
      </c>
      <c r="L131" s="249"/>
      <c r="M131" s="249"/>
      <c r="N131" s="249"/>
      <c r="O131" s="266">
        <f>K131</f>
        <v>99704</v>
      </c>
      <c r="P131" s="304">
        <f t="shared" si="63"/>
        <v>99704</v>
      </c>
      <c r="R131" s="306" t="b">
        <f>K131='d5'!I89</f>
        <v>1</v>
      </c>
    </row>
    <row r="132" spans="1:18" ht="180" x14ac:dyDescent="0.2">
      <c r="A132" s="258" t="s">
        <v>238</v>
      </c>
      <c r="B132" s="258"/>
      <c r="C132" s="258"/>
      <c r="D132" s="259" t="s">
        <v>42</v>
      </c>
      <c r="E132" s="260">
        <f>E133</f>
        <v>275928820</v>
      </c>
      <c r="F132" s="260">
        <f t="shared" ref="F132:G132" si="64">F133</f>
        <v>275928820</v>
      </c>
      <c r="G132" s="260">
        <f t="shared" si="64"/>
        <v>8148348</v>
      </c>
      <c r="H132" s="260">
        <f>H133</f>
        <v>230900</v>
      </c>
      <c r="I132" s="260">
        <f t="shared" ref="I132" si="65">I133</f>
        <v>0</v>
      </c>
      <c r="J132" s="260">
        <f>J133</f>
        <v>241719269.46000001</v>
      </c>
      <c r="K132" s="260">
        <f>K133</f>
        <v>240688347.31</v>
      </c>
      <c r="L132" s="260">
        <f>L133</f>
        <v>1001137</v>
      </c>
      <c r="M132" s="260">
        <f t="shared" ref="M132" si="66">M133</f>
        <v>0</v>
      </c>
      <c r="N132" s="260">
        <f>N133</f>
        <v>0</v>
      </c>
      <c r="O132" s="260">
        <f>O133</f>
        <v>240718132.46000001</v>
      </c>
      <c r="P132" s="260">
        <f>P133</f>
        <v>517648089.46000004</v>
      </c>
    </row>
    <row r="133" spans="1:18" ht="180" x14ac:dyDescent="0.2">
      <c r="A133" s="261" t="s">
        <v>239</v>
      </c>
      <c r="B133" s="261"/>
      <c r="C133" s="261"/>
      <c r="D133" s="262" t="s">
        <v>63</v>
      </c>
      <c r="E133" s="263">
        <f>SUM(E134:E153)</f>
        <v>275928820</v>
      </c>
      <c r="F133" s="263">
        <f>SUM(F134:F153)</f>
        <v>275928820</v>
      </c>
      <c r="G133" s="263">
        <f>SUM(G134:G153)</f>
        <v>8148348</v>
      </c>
      <c r="H133" s="263">
        <f>SUM(H134:H153)</f>
        <v>230900</v>
      </c>
      <c r="I133" s="263">
        <f>SUM(I134:I153)</f>
        <v>0</v>
      </c>
      <c r="J133" s="263">
        <f t="shared" ref="J133:J151" si="67">L133+O133</f>
        <v>241719269.46000001</v>
      </c>
      <c r="K133" s="263">
        <f>SUM(K134:K153)</f>
        <v>240688347.31</v>
      </c>
      <c r="L133" s="263">
        <f>SUM(L134:L153)</f>
        <v>1001137</v>
      </c>
      <c r="M133" s="263">
        <f>SUM(M134:M153)</f>
        <v>0</v>
      </c>
      <c r="N133" s="263">
        <f>SUM(N134:N153)</f>
        <v>0</v>
      </c>
      <c r="O133" s="263">
        <f>SUM(O134:O153)</f>
        <v>240718132.46000001</v>
      </c>
      <c r="P133" s="263">
        <f>E133+J133</f>
        <v>517648089.46000004</v>
      </c>
      <c r="Q133" s="146" t="b">
        <f>P133=P136+P138+P139+P140+P141+P142+P143+P147+P149+P150+P153+P137+P134+P145+P146+P151+P135+P144+P148</f>
        <v>1</v>
      </c>
      <c r="R133" s="306" t="b">
        <f>K133='d5'!I91</f>
        <v>0</v>
      </c>
    </row>
    <row r="134" spans="1:18" ht="228.75" x14ac:dyDescent="0.2">
      <c r="A134" s="305" t="s">
        <v>717</v>
      </c>
      <c r="B134" s="305" t="s">
        <v>335</v>
      </c>
      <c r="C134" s="305" t="s">
        <v>333</v>
      </c>
      <c r="D134" s="305" t="s">
        <v>334</v>
      </c>
      <c r="E134" s="257">
        <f>F134</f>
        <v>9671200</v>
      </c>
      <c r="F134" s="249">
        <f>((9531200)-49300+160000)+25300+4000</f>
        <v>9671200</v>
      </c>
      <c r="G134" s="249">
        <v>7129200</v>
      </c>
      <c r="H134" s="249">
        <f>(134000)+25300+4000</f>
        <v>163300</v>
      </c>
      <c r="I134" s="249"/>
      <c r="J134" s="304">
        <f t="shared" si="67"/>
        <v>0</v>
      </c>
      <c r="K134" s="249"/>
      <c r="L134" s="264"/>
      <c r="M134" s="264"/>
      <c r="N134" s="264"/>
      <c r="O134" s="266">
        <f t="shared" ref="O134:O150" si="68">K134</f>
        <v>0</v>
      </c>
      <c r="P134" s="304">
        <f t="shared" ref="P134:P140" si="69">+J134+E134</f>
        <v>9671200</v>
      </c>
      <c r="Q134" s="146"/>
      <c r="R134" s="306"/>
    </row>
    <row r="135" spans="1:18" ht="91.5" x14ac:dyDescent="0.2">
      <c r="A135" s="305" t="s">
        <v>806</v>
      </c>
      <c r="B135" s="305" t="s">
        <v>71</v>
      </c>
      <c r="C135" s="305" t="s">
        <v>70</v>
      </c>
      <c r="D135" s="305" t="s">
        <v>348</v>
      </c>
      <c r="E135" s="257">
        <f>F135</f>
        <v>146300</v>
      </c>
      <c r="F135" s="249">
        <f>(49300)+97000</f>
        <v>146300</v>
      </c>
      <c r="G135" s="249"/>
      <c r="H135" s="249"/>
      <c r="I135" s="249"/>
      <c r="J135" s="304">
        <f t="shared" si="67"/>
        <v>0</v>
      </c>
      <c r="K135" s="249"/>
      <c r="L135" s="264"/>
      <c r="M135" s="264"/>
      <c r="N135" s="264"/>
      <c r="O135" s="266">
        <f t="shared" si="68"/>
        <v>0</v>
      </c>
      <c r="P135" s="304">
        <f t="shared" si="69"/>
        <v>146300</v>
      </c>
      <c r="Q135" s="146"/>
      <c r="R135" s="306"/>
    </row>
    <row r="136" spans="1:18" ht="137.25" x14ac:dyDescent="0.2">
      <c r="A136" s="305" t="s">
        <v>411</v>
      </c>
      <c r="B136" s="305" t="s">
        <v>412</v>
      </c>
      <c r="C136" s="305" t="s">
        <v>529</v>
      </c>
      <c r="D136" s="305" t="s">
        <v>413</v>
      </c>
      <c r="E136" s="257">
        <f t="shared" ref="E136:E153" si="70">F136</f>
        <v>2183600</v>
      </c>
      <c r="F136" s="249">
        <v>2183600</v>
      </c>
      <c r="G136" s="249"/>
      <c r="H136" s="249"/>
      <c r="I136" s="249"/>
      <c r="J136" s="304">
        <f t="shared" si="67"/>
        <v>4550000</v>
      </c>
      <c r="K136" s="249">
        <v>4550000</v>
      </c>
      <c r="L136" s="264"/>
      <c r="M136" s="264"/>
      <c r="N136" s="264"/>
      <c r="O136" s="266">
        <f t="shared" si="68"/>
        <v>4550000</v>
      </c>
      <c r="P136" s="304">
        <f t="shared" si="69"/>
        <v>6733600</v>
      </c>
    </row>
    <row r="137" spans="1:18" ht="137.25" x14ac:dyDescent="0.2">
      <c r="A137" s="305" t="s">
        <v>624</v>
      </c>
      <c r="B137" s="305" t="s">
        <v>625</v>
      </c>
      <c r="C137" s="305" t="s">
        <v>414</v>
      </c>
      <c r="D137" s="305" t="s">
        <v>626</v>
      </c>
      <c r="E137" s="257">
        <f t="shared" si="70"/>
        <v>29000000</v>
      </c>
      <c r="F137" s="249">
        <f>(18000000)+12000000-1000000</f>
        <v>29000000</v>
      </c>
      <c r="G137" s="249"/>
      <c r="H137" s="249"/>
      <c r="I137" s="249"/>
      <c r="J137" s="304">
        <f t="shared" si="67"/>
        <v>0</v>
      </c>
      <c r="K137" s="249"/>
      <c r="L137" s="264"/>
      <c r="M137" s="264"/>
      <c r="N137" s="264"/>
      <c r="O137" s="266">
        <f t="shared" si="68"/>
        <v>0</v>
      </c>
      <c r="P137" s="304">
        <f t="shared" si="69"/>
        <v>29000000</v>
      </c>
    </row>
    <row r="138" spans="1:18" ht="137.25" x14ac:dyDescent="0.2">
      <c r="A138" s="305" t="s">
        <v>418</v>
      </c>
      <c r="B138" s="305" t="s">
        <v>419</v>
      </c>
      <c r="C138" s="305" t="s">
        <v>414</v>
      </c>
      <c r="D138" s="305" t="s">
        <v>420</v>
      </c>
      <c r="E138" s="257">
        <f t="shared" si="70"/>
        <v>16553700</v>
      </c>
      <c r="F138" s="249">
        <f>((5553700)+5000000)+5000000+1000000</f>
        <v>16553700</v>
      </c>
      <c r="G138" s="249"/>
      <c r="H138" s="249"/>
      <c r="I138" s="249"/>
      <c r="J138" s="304">
        <f t="shared" si="67"/>
        <v>0</v>
      </c>
      <c r="K138" s="249"/>
      <c r="L138" s="264"/>
      <c r="M138" s="264"/>
      <c r="N138" s="264"/>
      <c r="O138" s="266">
        <f t="shared" si="68"/>
        <v>0</v>
      </c>
      <c r="P138" s="304">
        <f t="shared" si="69"/>
        <v>16553700</v>
      </c>
    </row>
    <row r="139" spans="1:18" ht="137.25" x14ac:dyDescent="0.2">
      <c r="A139" s="305" t="s">
        <v>441</v>
      </c>
      <c r="B139" s="305" t="s">
        <v>442</v>
      </c>
      <c r="C139" s="305" t="s">
        <v>414</v>
      </c>
      <c r="D139" s="305" t="s">
        <v>443</v>
      </c>
      <c r="E139" s="257">
        <f t="shared" si="70"/>
        <v>0</v>
      </c>
      <c r="F139" s="249"/>
      <c r="G139" s="249"/>
      <c r="H139" s="249"/>
      <c r="I139" s="249"/>
      <c r="J139" s="304">
        <f t="shared" si="67"/>
        <v>6145000</v>
      </c>
      <c r="K139" s="249">
        <f>5770000+375000</f>
        <v>6145000</v>
      </c>
      <c r="L139" s="264"/>
      <c r="M139" s="264"/>
      <c r="N139" s="264"/>
      <c r="O139" s="266">
        <f t="shared" si="68"/>
        <v>6145000</v>
      </c>
      <c r="P139" s="304">
        <f t="shared" si="69"/>
        <v>6145000</v>
      </c>
    </row>
    <row r="140" spans="1:18" ht="183" x14ac:dyDescent="0.2">
      <c r="A140" s="305" t="s">
        <v>415</v>
      </c>
      <c r="B140" s="305" t="s">
        <v>416</v>
      </c>
      <c r="C140" s="305" t="s">
        <v>414</v>
      </c>
      <c r="D140" s="305" t="s">
        <v>417</v>
      </c>
      <c r="E140" s="257">
        <f t="shared" si="70"/>
        <v>0</v>
      </c>
      <c r="F140" s="249">
        <v>0</v>
      </c>
      <c r="G140" s="249"/>
      <c r="H140" s="249"/>
      <c r="I140" s="249"/>
      <c r="J140" s="304">
        <f t="shared" si="67"/>
        <v>24331028</v>
      </c>
      <c r="K140" s="249">
        <f>((23000000)+271028+1000000)+60000</f>
        <v>24331028</v>
      </c>
      <c r="L140" s="264"/>
      <c r="M140" s="264"/>
      <c r="N140" s="264"/>
      <c r="O140" s="266">
        <f t="shared" si="68"/>
        <v>24331028</v>
      </c>
      <c r="P140" s="304">
        <f t="shared" si="69"/>
        <v>24331028</v>
      </c>
    </row>
    <row r="141" spans="1:18" ht="228.75" x14ac:dyDescent="0.2">
      <c r="A141" s="305" t="s">
        <v>435</v>
      </c>
      <c r="B141" s="305" t="s">
        <v>436</v>
      </c>
      <c r="C141" s="305" t="s">
        <v>414</v>
      </c>
      <c r="D141" s="305" t="s">
        <v>437</v>
      </c>
      <c r="E141" s="257">
        <f t="shared" si="70"/>
        <v>369575</v>
      </c>
      <c r="F141" s="249">
        <f>((370575)+100000)-101000</f>
        <v>369575</v>
      </c>
      <c r="G141" s="249"/>
      <c r="H141" s="249"/>
      <c r="I141" s="249"/>
      <c r="J141" s="304">
        <f t="shared" si="67"/>
        <v>0</v>
      </c>
      <c r="K141" s="311"/>
      <c r="L141" s="249"/>
      <c r="M141" s="249"/>
      <c r="N141" s="249"/>
      <c r="O141" s="266">
        <f t="shared" si="68"/>
        <v>0</v>
      </c>
      <c r="P141" s="304">
        <f t="shared" ref="P141:P146" si="71">E141+J141</f>
        <v>369575</v>
      </c>
    </row>
    <row r="142" spans="1:18" ht="91.5" x14ac:dyDescent="0.2">
      <c r="A142" s="305" t="s">
        <v>421</v>
      </c>
      <c r="B142" s="305" t="s">
        <v>422</v>
      </c>
      <c r="C142" s="305" t="s">
        <v>414</v>
      </c>
      <c r="D142" s="305" t="s">
        <v>423</v>
      </c>
      <c r="E142" s="257">
        <f t="shared" si="70"/>
        <v>125592225</v>
      </c>
      <c r="F142" s="249">
        <f>(119582180)+6010045</f>
        <v>125592225</v>
      </c>
      <c r="G142" s="249"/>
      <c r="H142" s="249">
        <f>((10000)+5000)+40000</f>
        <v>55000</v>
      </c>
      <c r="I142" s="249"/>
      <c r="J142" s="304">
        <f t="shared" si="67"/>
        <v>23961401</v>
      </c>
      <c r="K142" s="311">
        <f>(24145451)-184050</f>
        <v>23961401</v>
      </c>
      <c r="L142" s="249"/>
      <c r="M142" s="249"/>
      <c r="N142" s="249"/>
      <c r="O142" s="266">
        <f t="shared" si="68"/>
        <v>23961401</v>
      </c>
      <c r="P142" s="304">
        <f t="shared" si="71"/>
        <v>149553626</v>
      </c>
    </row>
    <row r="143" spans="1:18" ht="92.25" x14ac:dyDescent="0.2">
      <c r="A143" s="305" t="s">
        <v>445</v>
      </c>
      <c r="B143" s="305" t="s">
        <v>446</v>
      </c>
      <c r="C143" s="305" t="s">
        <v>444</v>
      </c>
      <c r="D143" s="305" t="s">
        <v>447</v>
      </c>
      <c r="E143" s="257">
        <f t="shared" si="70"/>
        <v>0</v>
      </c>
      <c r="F143" s="249"/>
      <c r="G143" s="249"/>
      <c r="H143" s="249"/>
      <c r="I143" s="249"/>
      <c r="J143" s="304">
        <f>L143+O143</f>
        <v>8628600</v>
      </c>
      <c r="K143" s="311">
        <f>(((18518000)-4000000-8818000)+2728600)+200000</f>
        <v>8628600</v>
      </c>
      <c r="L143" s="249"/>
      <c r="M143" s="249"/>
      <c r="N143" s="249"/>
      <c r="O143" s="266">
        <f>K143</f>
        <v>8628600</v>
      </c>
      <c r="P143" s="304">
        <f t="shared" si="71"/>
        <v>8628600</v>
      </c>
    </row>
    <row r="144" spans="1:18" ht="137.25" x14ac:dyDescent="0.2">
      <c r="A144" s="305" t="s">
        <v>830</v>
      </c>
      <c r="B144" s="305" t="s">
        <v>559</v>
      </c>
      <c r="C144" s="305" t="s">
        <v>250</v>
      </c>
      <c r="D144" s="305" t="s">
        <v>392</v>
      </c>
      <c r="E144" s="257">
        <f t="shared" si="70"/>
        <v>0</v>
      </c>
      <c r="F144" s="249"/>
      <c r="G144" s="249"/>
      <c r="H144" s="249"/>
      <c r="I144" s="249"/>
      <c r="J144" s="304">
        <f>L144+O144</f>
        <v>38028000</v>
      </c>
      <c r="K144" s="311">
        <v>38028000</v>
      </c>
      <c r="L144" s="249"/>
      <c r="M144" s="249"/>
      <c r="N144" s="249"/>
      <c r="O144" s="266">
        <f>K144</f>
        <v>38028000</v>
      </c>
      <c r="P144" s="304">
        <f t="shared" si="71"/>
        <v>38028000</v>
      </c>
    </row>
    <row r="145" spans="1:18" ht="91.5" x14ac:dyDescent="0.2">
      <c r="A145" s="305" t="s">
        <v>700</v>
      </c>
      <c r="B145" s="305" t="s">
        <v>701</v>
      </c>
      <c r="C145" s="305" t="s">
        <v>702</v>
      </c>
      <c r="D145" s="305" t="s">
        <v>703</v>
      </c>
      <c r="E145" s="257">
        <f t="shared" si="70"/>
        <v>0</v>
      </c>
      <c r="F145" s="249">
        <f>((10620634)+5767000)-16387634</f>
        <v>0</v>
      </c>
      <c r="G145" s="249"/>
      <c r="H145" s="249"/>
      <c r="I145" s="249"/>
      <c r="J145" s="304">
        <f t="shared" si="67"/>
        <v>0</v>
      </c>
      <c r="K145" s="311"/>
      <c r="L145" s="249"/>
      <c r="M145" s="249"/>
      <c r="N145" s="249"/>
      <c r="O145" s="266">
        <f t="shared" si="68"/>
        <v>0</v>
      </c>
      <c r="P145" s="304">
        <f t="shared" si="71"/>
        <v>0</v>
      </c>
    </row>
    <row r="146" spans="1:18" ht="91.5" x14ac:dyDescent="0.2">
      <c r="A146" s="305" t="s">
        <v>424</v>
      </c>
      <c r="B146" s="305" t="s">
        <v>425</v>
      </c>
      <c r="C146" s="305" t="s">
        <v>427</v>
      </c>
      <c r="D146" s="305" t="s">
        <v>426</v>
      </c>
      <c r="E146" s="257">
        <f t="shared" si="70"/>
        <v>24482535</v>
      </c>
      <c r="F146" s="249">
        <f>((16217135)+9633000)-1367600</f>
        <v>24482535</v>
      </c>
      <c r="G146" s="249"/>
      <c r="H146" s="249"/>
      <c r="I146" s="249"/>
      <c r="J146" s="304">
        <f t="shared" si="67"/>
        <v>0</v>
      </c>
      <c r="K146" s="311"/>
      <c r="L146" s="249"/>
      <c r="M146" s="249"/>
      <c r="N146" s="249"/>
      <c r="O146" s="266">
        <f t="shared" si="68"/>
        <v>0</v>
      </c>
      <c r="P146" s="304">
        <f t="shared" si="71"/>
        <v>24482535</v>
      </c>
    </row>
    <row r="147" spans="1:18" ht="228.75" x14ac:dyDescent="0.2">
      <c r="A147" s="305" t="s">
        <v>428</v>
      </c>
      <c r="B147" s="305" t="s">
        <v>429</v>
      </c>
      <c r="C147" s="305" t="s">
        <v>431</v>
      </c>
      <c r="D147" s="305" t="s">
        <v>430</v>
      </c>
      <c r="E147" s="257">
        <f t="shared" si="70"/>
        <v>66101675</v>
      </c>
      <c r="F147" s="249">
        <v>66101675</v>
      </c>
      <c r="G147" s="249"/>
      <c r="H147" s="249"/>
      <c r="I147" s="249"/>
      <c r="J147" s="304">
        <f t="shared" si="67"/>
        <v>83446710.780000001</v>
      </c>
      <c r="K147" s="249">
        <f>(82763108-570000)+3377030.11-31243.48-250000+31-1000000-500000-372000</f>
        <v>83416925.629999995</v>
      </c>
      <c r="L147" s="264"/>
      <c r="M147" s="264"/>
      <c r="N147" s="264"/>
      <c r="O147" s="266">
        <f>(K147+31243.48)-1458.33</f>
        <v>83446710.780000001</v>
      </c>
      <c r="P147" s="304">
        <f>+J147+E147</f>
        <v>149548385.78</v>
      </c>
    </row>
    <row r="148" spans="1:18" ht="228.75" x14ac:dyDescent="0.2">
      <c r="A148" s="305" t="s">
        <v>935</v>
      </c>
      <c r="B148" s="305" t="s">
        <v>936</v>
      </c>
      <c r="C148" s="305" t="s">
        <v>431</v>
      </c>
      <c r="D148" s="305" t="s">
        <v>937</v>
      </c>
      <c r="E148" s="257">
        <f t="shared" si="70"/>
        <v>0</v>
      </c>
      <c r="F148" s="249"/>
      <c r="G148" s="249"/>
      <c r="H148" s="249"/>
      <c r="I148" s="249"/>
      <c r="J148" s="304">
        <f t="shared" si="67"/>
        <v>1400000</v>
      </c>
      <c r="K148" s="249">
        <v>1400000</v>
      </c>
      <c r="L148" s="264"/>
      <c r="M148" s="264"/>
      <c r="N148" s="264"/>
      <c r="O148" s="266">
        <f>K148</f>
        <v>1400000</v>
      </c>
      <c r="P148" s="304">
        <f>+J148+E148</f>
        <v>1400000</v>
      </c>
    </row>
    <row r="149" spans="1:18" ht="46.5" x14ac:dyDescent="0.2">
      <c r="A149" s="305" t="s">
        <v>432</v>
      </c>
      <c r="B149" s="305" t="s">
        <v>311</v>
      </c>
      <c r="C149" s="305" t="s">
        <v>312</v>
      </c>
      <c r="D149" s="305" t="s">
        <v>67</v>
      </c>
      <c r="E149" s="257">
        <f t="shared" si="70"/>
        <v>550000</v>
      </c>
      <c r="F149" s="249">
        <f>(250000)+300000</f>
        <v>550000</v>
      </c>
      <c r="G149" s="249"/>
      <c r="H149" s="249"/>
      <c r="I149" s="249"/>
      <c r="J149" s="304">
        <f t="shared" si="67"/>
        <v>950000</v>
      </c>
      <c r="K149" s="311">
        <f>(1000000+250000)-300000</f>
        <v>950000</v>
      </c>
      <c r="L149" s="249"/>
      <c r="M149" s="249"/>
      <c r="N149" s="249"/>
      <c r="O149" s="266">
        <f t="shared" si="68"/>
        <v>950000</v>
      </c>
      <c r="P149" s="304">
        <f>E149+J149</f>
        <v>1500000</v>
      </c>
    </row>
    <row r="150" spans="1:18" ht="91.5" x14ac:dyDescent="0.65">
      <c r="A150" s="305" t="s">
        <v>449</v>
      </c>
      <c r="B150" s="305" t="s">
        <v>287</v>
      </c>
      <c r="C150" s="305" t="s">
        <v>250</v>
      </c>
      <c r="D150" s="305" t="s">
        <v>57</v>
      </c>
      <c r="E150" s="257">
        <f t="shared" si="70"/>
        <v>0</v>
      </c>
      <c r="F150" s="249"/>
      <c r="G150" s="249"/>
      <c r="H150" s="249"/>
      <c r="I150" s="249"/>
      <c r="J150" s="304">
        <f t="shared" si="67"/>
        <v>49277392.68</v>
      </c>
      <c r="K150" s="311">
        <f>(41440992.68)+836400+7000000</f>
        <v>49277392.68</v>
      </c>
      <c r="L150" s="249"/>
      <c r="M150" s="249"/>
      <c r="N150" s="249"/>
      <c r="O150" s="266">
        <f t="shared" si="68"/>
        <v>49277392.68</v>
      </c>
      <c r="P150" s="304">
        <f>E150+J150</f>
        <v>49277392.68</v>
      </c>
      <c r="Q150" s="157"/>
    </row>
    <row r="151" spans="1:18" ht="409.5" x14ac:dyDescent="0.2">
      <c r="A151" s="476" t="s">
        <v>724</v>
      </c>
      <c r="B151" s="476" t="s">
        <v>525</v>
      </c>
      <c r="C151" s="476" t="s">
        <v>250</v>
      </c>
      <c r="D151" s="267" t="s">
        <v>536</v>
      </c>
      <c r="E151" s="486">
        <f t="shared" si="70"/>
        <v>0</v>
      </c>
      <c r="F151" s="482"/>
      <c r="G151" s="482"/>
      <c r="H151" s="482"/>
      <c r="I151" s="482"/>
      <c r="J151" s="488">
        <f t="shared" si="67"/>
        <v>1001137</v>
      </c>
      <c r="K151" s="482"/>
      <c r="L151" s="482">
        <f>(1424137)-423000</f>
        <v>1001137</v>
      </c>
      <c r="M151" s="482"/>
      <c r="N151" s="482"/>
      <c r="O151" s="493">
        <f>K151+0</f>
        <v>0</v>
      </c>
      <c r="P151" s="486">
        <f>E151+J151</f>
        <v>1001137</v>
      </c>
      <c r="Q151" s="217">
        <f>P151</f>
        <v>1001137</v>
      </c>
    </row>
    <row r="152" spans="1:18" ht="137.25" x14ac:dyDescent="0.65">
      <c r="A152" s="513"/>
      <c r="B152" s="513"/>
      <c r="C152" s="513"/>
      <c r="D152" s="268" t="s">
        <v>537</v>
      </c>
      <c r="E152" s="512"/>
      <c r="F152" s="496"/>
      <c r="G152" s="496"/>
      <c r="H152" s="496"/>
      <c r="I152" s="496"/>
      <c r="J152" s="497"/>
      <c r="K152" s="496"/>
      <c r="L152" s="496"/>
      <c r="M152" s="496"/>
      <c r="N152" s="496"/>
      <c r="O152" s="508"/>
      <c r="P152" s="512"/>
      <c r="Q152" s="157"/>
    </row>
    <row r="153" spans="1:18" ht="91.5" x14ac:dyDescent="0.2">
      <c r="A153" s="305" t="s">
        <v>379</v>
      </c>
      <c r="B153" s="305" t="s">
        <v>380</v>
      </c>
      <c r="C153" s="305" t="s">
        <v>381</v>
      </c>
      <c r="D153" s="305" t="s">
        <v>378</v>
      </c>
      <c r="E153" s="257">
        <f t="shared" si="70"/>
        <v>1278010</v>
      </c>
      <c r="F153" s="249">
        <f>(1250990)+27020</f>
        <v>1278010</v>
      </c>
      <c r="G153" s="249">
        <f>(843750+143550)+31848</f>
        <v>1019148</v>
      </c>
      <c r="H153" s="249">
        <v>12600</v>
      </c>
      <c r="I153" s="249"/>
      <c r="J153" s="304">
        <f>L153+O153</f>
        <v>0</v>
      </c>
      <c r="K153" s="311"/>
      <c r="L153" s="249"/>
      <c r="M153" s="249"/>
      <c r="N153" s="249"/>
      <c r="O153" s="266">
        <f>K153</f>
        <v>0</v>
      </c>
      <c r="P153" s="304">
        <f>E153+J153</f>
        <v>1278010</v>
      </c>
    </row>
    <row r="154" spans="1:18" ht="315" x14ac:dyDescent="0.2">
      <c r="A154" s="258" t="s">
        <v>44</v>
      </c>
      <c r="B154" s="258"/>
      <c r="C154" s="258"/>
      <c r="D154" s="259" t="s">
        <v>619</v>
      </c>
      <c r="E154" s="260">
        <f>E155</f>
        <v>2908890</v>
      </c>
      <c r="F154" s="260">
        <f t="shared" ref="F154:G154" si="72">F155</f>
        <v>2908890</v>
      </c>
      <c r="G154" s="260">
        <f t="shared" si="72"/>
        <v>1871300</v>
      </c>
      <c r="H154" s="260">
        <f>H155</f>
        <v>56240</v>
      </c>
      <c r="I154" s="260">
        <f t="shared" ref="I154" si="73">I155</f>
        <v>0</v>
      </c>
      <c r="J154" s="260">
        <f>J155</f>
        <v>112071080</v>
      </c>
      <c r="K154" s="260">
        <f>K155</f>
        <v>112071080</v>
      </c>
      <c r="L154" s="260">
        <f>L155</f>
        <v>0</v>
      </c>
      <c r="M154" s="260">
        <f t="shared" ref="M154" si="74">M155</f>
        <v>0</v>
      </c>
      <c r="N154" s="260">
        <f>N155</f>
        <v>0</v>
      </c>
      <c r="O154" s="260">
        <f>O155</f>
        <v>112071080</v>
      </c>
      <c r="P154" s="260">
        <f t="shared" ref="P154" si="75">P155</f>
        <v>114979970</v>
      </c>
    </row>
    <row r="155" spans="1:18" ht="270" x14ac:dyDescent="0.2">
      <c r="A155" s="261" t="s">
        <v>45</v>
      </c>
      <c r="B155" s="261"/>
      <c r="C155" s="261"/>
      <c r="D155" s="262" t="s">
        <v>618</v>
      </c>
      <c r="E155" s="263">
        <f>SUM(E156:E162)</f>
        <v>2908890</v>
      </c>
      <c r="F155" s="263">
        <f t="shared" ref="F155:O155" si="76">SUM(F156:F162)</f>
        <v>2908890</v>
      </c>
      <c r="G155" s="263">
        <f t="shared" si="76"/>
        <v>1871300</v>
      </c>
      <c r="H155" s="263">
        <f t="shared" si="76"/>
        <v>56240</v>
      </c>
      <c r="I155" s="263">
        <f t="shared" si="76"/>
        <v>0</v>
      </c>
      <c r="J155" s="263">
        <f t="shared" ref="J155:J162" si="77">L155+O155</f>
        <v>112071080</v>
      </c>
      <c r="K155" s="263">
        <f t="shared" si="76"/>
        <v>112071080</v>
      </c>
      <c r="L155" s="263">
        <f t="shared" si="76"/>
        <v>0</v>
      </c>
      <c r="M155" s="263">
        <f t="shared" si="76"/>
        <v>0</v>
      </c>
      <c r="N155" s="263">
        <f t="shared" si="76"/>
        <v>0</v>
      </c>
      <c r="O155" s="263">
        <f t="shared" si="76"/>
        <v>112071080</v>
      </c>
      <c r="P155" s="263">
        <f t="shared" ref="P155:P162" si="78">E155+J155</f>
        <v>114979970</v>
      </c>
      <c r="Q155" s="146" t="b">
        <f>P155=P159+P160+P161+P156+P157+P162+P158</f>
        <v>1</v>
      </c>
      <c r="R155" s="306" t="b">
        <f>K155='d5'!I157</f>
        <v>0</v>
      </c>
    </row>
    <row r="156" spans="1:18" ht="228.75" x14ac:dyDescent="0.2">
      <c r="A156" s="305" t="s">
        <v>713</v>
      </c>
      <c r="B156" s="305" t="s">
        <v>335</v>
      </c>
      <c r="C156" s="305" t="s">
        <v>333</v>
      </c>
      <c r="D156" s="305" t="s">
        <v>334</v>
      </c>
      <c r="E156" s="304">
        <f>F156</f>
        <v>2513040</v>
      </c>
      <c r="F156" s="311">
        <f>((2696500)-289700+55000)+95000+16000-16000-43760</f>
        <v>2513040</v>
      </c>
      <c r="G156" s="311">
        <f>(1776300)+95000</f>
        <v>1871300</v>
      </c>
      <c r="H156" s="311">
        <f>(100000)-43760</f>
        <v>56240</v>
      </c>
      <c r="I156" s="311"/>
      <c r="J156" s="304">
        <f t="shared" si="77"/>
        <v>17880</v>
      </c>
      <c r="K156" s="311">
        <f>(10400)+7480</f>
        <v>17880</v>
      </c>
      <c r="L156" s="311"/>
      <c r="M156" s="311"/>
      <c r="N156" s="311"/>
      <c r="O156" s="266">
        <f>K156</f>
        <v>17880</v>
      </c>
      <c r="P156" s="304">
        <f t="shared" si="78"/>
        <v>2530920</v>
      </c>
      <c r="Q156" s="146"/>
      <c r="R156" s="306" t="b">
        <f>K156='d5'!I158</f>
        <v>0</v>
      </c>
    </row>
    <row r="157" spans="1:18" ht="91.5" x14ac:dyDescent="0.2">
      <c r="A157" s="305" t="s">
        <v>804</v>
      </c>
      <c r="B157" s="305" t="s">
        <v>71</v>
      </c>
      <c r="C157" s="305" t="s">
        <v>70</v>
      </c>
      <c r="D157" s="305" t="s">
        <v>348</v>
      </c>
      <c r="E157" s="304">
        <f>F157</f>
        <v>395850</v>
      </c>
      <c r="F157" s="311">
        <f>(289700+266000)-140000-19850</f>
        <v>395850</v>
      </c>
      <c r="G157" s="311"/>
      <c r="H157" s="311"/>
      <c r="I157" s="311"/>
      <c r="J157" s="304">
        <f t="shared" si="77"/>
        <v>0</v>
      </c>
      <c r="K157" s="311"/>
      <c r="L157" s="311"/>
      <c r="M157" s="311"/>
      <c r="N157" s="311"/>
      <c r="O157" s="266">
        <f t="shared" ref="O157:O158" si="79">K157</f>
        <v>0</v>
      </c>
      <c r="P157" s="304">
        <f t="shared" si="78"/>
        <v>395850</v>
      </c>
      <c r="Q157" s="146"/>
      <c r="R157" s="306"/>
    </row>
    <row r="158" spans="1:18" ht="320.25" x14ac:dyDescent="0.2">
      <c r="A158" s="305" t="s">
        <v>808</v>
      </c>
      <c r="B158" s="305" t="s">
        <v>810</v>
      </c>
      <c r="C158" s="305" t="s">
        <v>285</v>
      </c>
      <c r="D158" s="305" t="s">
        <v>809</v>
      </c>
      <c r="E158" s="304">
        <f t="shared" ref="E158:E160" si="80">F158</f>
        <v>0</v>
      </c>
      <c r="F158" s="311"/>
      <c r="G158" s="311"/>
      <c r="H158" s="311"/>
      <c r="I158" s="311"/>
      <c r="J158" s="304">
        <f t="shared" si="77"/>
        <v>42787000</v>
      </c>
      <c r="K158" s="311">
        <f>(55287000)-12500000</f>
        <v>42787000</v>
      </c>
      <c r="L158" s="311"/>
      <c r="M158" s="311"/>
      <c r="N158" s="311"/>
      <c r="O158" s="266">
        <f t="shared" si="79"/>
        <v>42787000</v>
      </c>
      <c r="P158" s="304">
        <f t="shared" si="78"/>
        <v>42787000</v>
      </c>
      <c r="Q158" s="146"/>
      <c r="R158" s="306"/>
    </row>
    <row r="159" spans="1:18" ht="91.5" x14ac:dyDescent="0.2">
      <c r="A159" s="305" t="s">
        <v>463</v>
      </c>
      <c r="B159" s="305" t="s">
        <v>464</v>
      </c>
      <c r="C159" s="305" t="s">
        <v>444</v>
      </c>
      <c r="D159" s="305" t="s">
        <v>462</v>
      </c>
      <c r="E159" s="304">
        <f t="shared" si="80"/>
        <v>0</v>
      </c>
      <c r="F159" s="311"/>
      <c r="G159" s="311"/>
      <c r="H159" s="311"/>
      <c r="I159" s="311"/>
      <c r="J159" s="304">
        <f t="shared" si="77"/>
        <v>23900000</v>
      </c>
      <c r="K159" s="311">
        <f>(19400000)+4500000</f>
        <v>23900000</v>
      </c>
      <c r="L159" s="311"/>
      <c r="M159" s="311"/>
      <c r="N159" s="311"/>
      <c r="O159" s="266">
        <f>K159</f>
        <v>23900000</v>
      </c>
      <c r="P159" s="304">
        <f t="shared" si="78"/>
        <v>23900000</v>
      </c>
    </row>
    <row r="160" spans="1:18" ht="137.25" x14ac:dyDescent="0.2">
      <c r="A160" s="305" t="s">
        <v>465</v>
      </c>
      <c r="B160" s="305" t="s">
        <v>466</v>
      </c>
      <c r="C160" s="305" t="s">
        <v>444</v>
      </c>
      <c r="D160" s="305" t="s">
        <v>467</v>
      </c>
      <c r="E160" s="304">
        <f t="shared" si="80"/>
        <v>0</v>
      </c>
      <c r="F160" s="311"/>
      <c r="G160" s="311"/>
      <c r="H160" s="311"/>
      <c r="I160" s="311"/>
      <c r="J160" s="304">
        <f t="shared" si="77"/>
        <v>950000</v>
      </c>
      <c r="K160" s="311">
        <f>((4500000+1400000-4500000)-900000)+450000</f>
        <v>950000</v>
      </c>
      <c r="L160" s="311"/>
      <c r="M160" s="311"/>
      <c r="N160" s="311"/>
      <c r="O160" s="266">
        <f>K160</f>
        <v>950000</v>
      </c>
      <c r="P160" s="304">
        <f t="shared" si="78"/>
        <v>950000</v>
      </c>
    </row>
    <row r="161" spans="1:18" ht="91.5" x14ac:dyDescent="0.2">
      <c r="A161" s="305" t="s">
        <v>468</v>
      </c>
      <c r="B161" s="305" t="s">
        <v>469</v>
      </c>
      <c r="C161" s="305" t="s">
        <v>444</v>
      </c>
      <c r="D161" s="305" t="s">
        <v>815</v>
      </c>
      <c r="E161" s="304">
        <f>F161</f>
        <v>0</v>
      </c>
      <c r="F161" s="311"/>
      <c r="G161" s="311"/>
      <c r="H161" s="311"/>
      <c r="I161" s="311"/>
      <c r="J161" s="304">
        <f t="shared" si="77"/>
        <v>17216200</v>
      </c>
      <c r="K161" s="311">
        <f>((11500000+1666200)-2000000)+6050000</f>
        <v>17216200</v>
      </c>
      <c r="L161" s="311"/>
      <c r="M161" s="311"/>
      <c r="N161" s="311"/>
      <c r="O161" s="266">
        <f>K161</f>
        <v>17216200</v>
      </c>
      <c r="P161" s="304">
        <f t="shared" si="78"/>
        <v>17216200</v>
      </c>
    </row>
    <row r="162" spans="1:18" ht="137.25" x14ac:dyDescent="0.2">
      <c r="A162" s="305" t="s">
        <v>903</v>
      </c>
      <c r="B162" s="305" t="s">
        <v>559</v>
      </c>
      <c r="C162" s="305" t="s">
        <v>250</v>
      </c>
      <c r="D162" s="305" t="s">
        <v>392</v>
      </c>
      <c r="E162" s="304">
        <f>F162</f>
        <v>0</v>
      </c>
      <c r="F162" s="311"/>
      <c r="G162" s="311"/>
      <c r="H162" s="311"/>
      <c r="I162" s="311"/>
      <c r="J162" s="304">
        <f t="shared" si="77"/>
        <v>27200000</v>
      </c>
      <c r="K162" s="311">
        <f>(25700000)+1500000</f>
        <v>27200000</v>
      </c>
      <c r="L162" s="311"/>
      <c r="M162" s="311"/>
      <c r="N162" s="311"/>
      <c r="O162" s="266">
        <f>K162</f>
        <v>27200000</v>
      </c>
      <c r="P162" s="304">
        <f t="shared" si="78"/>
        <v>27200000</v>
      </c>
    </row>
    <row r="163" spans="1:18" ht="270" x14ac:dyDescent="0.2">
      <c r="A163" s="258" t="s">
        <v>240</v>
      </c>
      <c r="B163" s="258"/>
      <c r="C163" s="258"/>
      <c r="D163" s="259" t="s">
        <v>46</v>
      </c>
      <c r="E163" s="260">
        <f>E164</f>
        <v>4114580</v>
      </c>
      <c r="F163" s="260">
        <f t="shared" ref="F163:G163" si="81">F164</f>
        <v>4114580</v>
      </c>
      <c r="G163" s="260">
        <f t="shared" si="81"/>
        <v>2803780</v>
      </c>
      <c r="H163" s="260">
        <f>H164</f>
        <v>107000</v>
      </c>
      <c r="I163" s="260">
        <f t="shared" ref="I163" si="82">I164</f>
        <v>0</v>
      </c>
      <c r="J163" s="260">
        <f>J164</f>
        <v>96500</v>
      </c>
      <c r="K163" s="260">
        <f>K164</f>
        <v>96500</v>
      </c>
      <c r="L163" s="260">
        <f>L164</f>
        <v>0</v>
      </c>
      <c r="M163" s="260">
        <f t="shared" ref="M163" si="83">M164</f>
        <v>0</v>
      </c>
      <c r="N163" s="260">
        <f>N164</f>
        <v>0</v>
      </c>
      <c r="O163" s="260">
        <f>O164</f>
        <v>96500</v>
      </c>
      <c r="P163" s="260">
        <f t="shared" ref="P163" si="84">P164</f>
        <v>4211080</v>
      </c>
    </row>
    <row r="164" spans="1:18" ht="270" x14ac:dyDescent="0.2">
      <c r="A164" s="261" t="s">
        <v>241</v>
      </c>
      <c r="B164" s="261"/>
      <c r="C164" s="261"/>
      <c r="D164" s="262" t="s">
        <v>64</v>
      </c>
      <c r="E164" s="263">
        <f>SUM(E165:E167)</f>
        <v>4114580</v>
      </c>
      <c r="F164" s="263">
        <f t="shared" ref="F164:O164" si="85">SUM(F165:F167)</f>
        <v>4114580</v>
      </c>
      <c r="G164" s="263">
        <f t="shared" si="85"/>
        <v>2803780</v>
      </c>
      <c r="H164" s="263">
        <f t="shared" si="85"/>
        <v>107000</v>
      </c>
      <c r="I164" s="263">
        <f t="shared" si="85"/>
        <v>0</v>
      </c>
      <c r="J164" s="263">
        <f>L164+O164</f>
        <v>96500</v>
      </c>
      <c r="K164" s="263">
        <f t="shared" si="85"/>
        <v>96500</v>
      </c>
      <c r="L164" s="263">
        <f t="shared" si="85"/>
        <v>0</v>
      </c>
      <c r="M164" s="263">
        <f t="shared" si="85"/>
        <v>0</v>
      </c>
      <c r="N164" s="263">
        <f t="shared" si="85"/>
        <v>0</v>
      </c>
      <c r="O164" s="263">
        <f t="shared" si="85"/>
        <v>96500</v>
      </c>
      <c r="P164" s="263">
        <f>E164+J164</f>
        <v>4211080</v>
      </c>
      <c r="Q164" s="146" t="b">
        <f>P164=P167+P165+P166</f>
        <v>1</v>
      </c>
      <c r="R164" s="306" t="b">
        <f>K164='d5'!I180</f>
        <v>0</v>
      </c>
    </row>
    <row r="165" spans="1:18" ht="228.75" x14ac:dyDescent="0.2">
      <c r="A165" s="305" t="s">
        <v>715</v>
      </c>
      <c r="B165" s="305" t="s">
        <v>335</v>
      </c>
      <c r="C165" s="305" t="s">
        <v>333</v>
      </c>
      <c r="D165" s="305" t="s">
        <v>334</v>
      </c>
      <c r="E165" s="304">
        <f>F165</f>
        <v>3915980</v>
      </c>
      <c r="F165" s="311">
        <f>((3880500)+55000)-46920+27400</f>
        <v>3915980</v>
      </c>
      <c r="G165" s="311">
        <f>(2850700)-46920</f>
        <v>2803780</v>
      </c>
      <c r="H165" s="311">
        <v>107000</v>
      </c>
      <c r="I165" s="311"/>
      <c r="J165" s="304">
        <f>L165+O165</f>
        <v>26500</v>
      </c>
      <c r="K165" s="311">
        <v>26500</v>
      </c>
      <c r="L165" s="311"/>
      <c r="M165" s="311"/>
      <c r="N165" s="311"/>
      <c r="O165" s="266">
        <f>K165</f>
        <v>26500</v>
      </c>
      <c r="P165" s="304">
        <f>E165+J165</f>
        <v>3942480</v>
      </c>
      <c r="Q165" s="146"/>
      <c r="R165" s="306" t="b">
        <f>K165='d5'!I183</f>
        <v>0</v>
      </c>
    </row>
    <row r="166" spans="1:18" ht="91.5" x14ac:dyDescent="0.2">
      <c r="A166" s="305" t="s">
        <v>946</v>
      </c>
      <c r="B166" s="305" t="s">
        <v>71</v>
      </c>
      <c r="C166" s="305" t="s">
        <v>70</v>
      </c>
      <c r="D166" s="305" t="s">
        <v>348</v>
      </c>
      <c r="E166" s="304">
        <f t="shared" ref="E166" si="86">F166</f>
        <v>198600</v>
      </c>
      <c r="F166" s="311">
        <v>198600</v>
      </c>
      <c r="G166" s="311"/>
      <c r="H166" s="311"/>
      <c r="I166" s="311"/>
      <c r="J166" s="304">
        <f t="shared" ref="J166" si="87">L166+O166</f>
        <v>0</v>
      </c>
      <c r="K166" s="311"/>
      <c r="L166" s="311"/>
      <c r="M166" s="311"/>
      <c r="N166" s="311"/>
      <c r="O166" s="266">
        <f>K166</f>
        <v>0</v>
      </c>
      <c r="P166" s="304">
        <f>E166+J166</f>
        <v>198600</v>
      </c>
      <c r="Q166" s="146"/>
      <c r="R166" s="306"/>
    </row>
    <row r="167" spans="1:18" ht="137.25" x14ac:dyDescent="0.2">
      <c r="A167" s="305" t="s">
        <v>454</v>
      </c>
      <c r="B167" s="305" t="s">
        <v>455</v>
      </c>
      <c r="C167" s="305" t="s">
        <v>444</v>
      </c>
      <c r="D167" s="305" t="s">
        <v>456</v>
      </c>
      <c r="E167" s="304">
        <f>F167</f>
        <v>0</v>
      </c>
      <c r="F167" s="311">
        <v>0</v>
      </c>
      <c r="G167" s="311"/>
      <c r="H167" s="311"/>
      <c r="I167" s="311"/>
      <c r="J167" s="304">
        <f>L167+O167</f>
        <v>70000</v>
      </c>
      <c r="K167" s="311">
        <f>((2000000)-1500000)-500000+70000</f>
        <v>70000</v>
      </c>
      <c r="L167" s="311"/>
      <c r="M167" s="311"/>
      <c r="N167" s="311"/>
      <c r="O167" s="266">
        <f>K167</f>
        <v>70000</v>
      </c>
      <c r="P167" s="304">
        <f>E167+J167</f>
        <v>70000</v>
      </c>
    </row>
    <row r="168" spans="1:18" ht="135" x14ac:dyDescent="0.2">
      <c r="A168" s="258" t="s">
        <v>246</v>
      </c>
      <c r="B168" s="258"/>
      <c r="C168" s="258"/>
      <c r="D168" s="259" t="s">
        <v>563</v>
      </c>
      <c r="E168" s="260">
        <f>E169</f>
        <v>7200430.4800000004</v>
      </c>
      <c r="F168" s="260">
        <f t="shared" ref="F168:G168" si="88">F169</f>
        <v>7200430.4800000004</v>
      </c>
      <c r="G168" s="260">
        <f t="shared" si="88"/>
        <v>0</v>
      </c>
      <c r="H168" s="260">
        <f>H169</f>
        <v>0</v>
      </c>
      <c r="I168" s="260">
        <f t="shared" ref="I168" si="89">I169</f>
        <v>0</v>
      </c>
      <c r="J168" s="260">
        <f>J169</f>
        <v>2354114.52</v>
      </c>
      <c r="K168" s="260">
        <f>K169</f>
        <v>2354114.52</v>
      </c>
      <c r="L168" s="260">
        <f>L169</f>
        <v>0</v>
      </c>
      <c r="M168" s="260">
        <f t="shared" ref="M168" si="90">M169</f>
        <v>0</v>
      </c>
      <c r="N168" s="260">
        <f>N169</f>
        <v>0</v>
      </c>
      <c r="O168" s="260">
        <f>O169</f>
        <v>2354114.52</v>
      </c>
      <c r="P168" s="260">
        <f t="shared" ref="P168" si="91">P169</f>
        <v>9554545</v>
      </c>
    </row>
    <row r="169" spans="1:18" ht="135" x14ac:dyDescent="0.2">
      <c r="A169" s="261" t="s">
        <v>247</v>
      </c>
      <c r="B169" s="261"/>
      <c r="C169" s="261"/>
      <c r="D169" s="262" t="s">
        <v>564</v>
      </c>
      <c r="E169" s="263">
        <f>SUM(E170:E174)</f>
        <v>7200430.4800000004</v>
      </c>
      <c r="F169" s="263">
        <f t="shared" ref="F169:O169" si="92">SUM(F170:F174)</f>
        <v>7200430.4800000004</v>
      </c>
      <c r="G169" s="263">
        <f t="shared" si="92"/>
        <v>0</v>
      </c>
      <c r="H169" s="263">
        <f t="shared" si="92"/>
        <v>0</v>
      </c>
      <c r="I169" s="263">
        <f t="shared" si="92"/>
        <v>0</v>
      </c>
      <c r="J169" s="263">
        <f t="shared" ref="J169:J174" si="93">L169+O169</f>
        <v>2354114.52</v>
      </c>
      <c r="K169" s="263">
        <f t="shared" si="92"/>
        <v>2354114.52</v>
      </c>
      <c r="L169" s="263">
        <f t="shared" si="92"/>
        <v>0</v>
      </c>
      <c r="M169" s="263">
        <f t="shared" si="92"/>
        <v>0</v>
      </c>
      <c r="N169" s="263">
        <f t="shared" si="92"/>
        <v>0</v>
      </c>
      <c r="O169" s="263">
        <f t="shared" si="92"/>
        <v>2354114.52</v>
      </c>
      <c r="P169" s="263">
        <f t="shared" ref="P169:P174" si="94">E169+J169</f>
        <v>9554545</v>
      </c>
      <c r="Q169" s="146" t="b">
        <f>P169=P170+P171+P172+P173+P174</f>
        <v>1</v>
      </c>
      <c r="R169" s="306" t="b">
        <f>K169='d5'!I187</f>
        <v>1</v>
      </c>
    </row>
    <row r="170" spans="1:18" ht="137.25" hidden="1" x14ac:dyDescent="0.2">
      <c r="A170" s="251" t="s">
        <v>558</v>
      </c>
      <c r="B170" s="251" t="s">
        <v>559</v>
      </c>
      <c r="C170" s="251" t="s">
        <v>250</v>
      </c>
      <c r="D170" s="251" t="s">
        <v>392</v>
      </c>
      <c r="E170" s="252">
        <f>F170</f>
        <v>0</v>
      </c>
      <c r="F170" s="254"/>
      <c r="G170" s="254"/>
      <c r="H170" s="254"/>
      <c r="I170" s="254"/>
      <c r="J170" s="252">
        <f t="shared" si="93"/>
        <v>0</v>
      </c>
      <c r="K170" s="254">
        <f>(2000000)-2000000</f>
        <v>0</v>
      </c>
      <c r="L170" s="254"/>
      <c r="M170" s="254"/>
      <c r="N170" s="254"/>
      <c r="O170" s="253">
        <f>K170</f>
        <v>0</v>
      </c>
      <c r="P170" s="252">
        <f t="shared" si="94"/>
        <v>0</v>
      </c>
      <c r="R170" s="306"/>
    </row>
    <row r="171" spans="1:18" ht="91.5" x14ac:dyDescent="0.2">
      <c r="A171" s="305" t="s">
        <v>390</v>
      </c>
      <c r="B171" s="305" t="s">
        <v>391</v>
      </c>
      <c r="C171" s="305" t="s">
        <v>389</v>
      </c>
      <c r="D171" s="305" t="s">
        <v>388</v>
      </c>
      <c r="E171" s="304">
        <f t="shared" ref="E171:E174" si="95">F171</f>
        <v>4394349.4800000004</v>
      </c>
      <c r="F171" s="311">
        <f>(((2656650)+828350-240000+40000)-37350.52-100000)+1146700+100000</f>
        <v>4394349.4800000004</v>
      </c>
      <c r="G171" s="311"/>
      <c r="H171" s="311"/>
      <c r="I171" s="311"/>
      <c r="J171" s="304">
        <f t="shared" si="93"/>
        <v>870000</v>
      </c>
      <c r="K171" s="311">
        <f>(((570000)+200000)+100000)</f>
        <v>870000</v>
      </c>
      <c r="L171" s="311"/>
      <c r="M171" s="311"/>
      <c r="N171" s="311"/>
      <c r="O171" s="266">
        <f>K171</f>
        <v>870000</v>
      </c>
      <c r="P171" s="304">
        <f t="shared" si="94"/>
        <v>5264349.4800000004</v>
      </c>
      <c r="R171" s="306" t="b">
        <f>K171='d5'!I189</f>
        <v>1</v>
      </c>
    </row>
    <row r="172" spans="1:18" ht="137.25" x14ac:dyDescent="0.2">
      <c r="A172" s="305" t="s">
        <v>382</v>
      </c>
      <c r="B172" s="305" t="s">
        <v>384</v>
      </c>
      <c r="C172" s="305" t="s">
        <v>312</v>
      </c>
      <c r="D172" s="305" t="s">
        <v>383</v>
      </c>
      <c r="E172" s="304">
        <f t="shared" si="95"/>
        <v>320000</v>
      </c>
      <c r="F172" s="311">
        <f>(420000)-100000</f>
        <v>320000</v>
      </c>
      <c r="G172" s="311"/>
      <c r="H172" s="311"/>
      <c r="I172" s="311"/>
      <c r="J172" s="304">
        <f t="shared" si="93"/>
        <v>0</v>
      </c>
      <c r="K172" s="311"/>
      <c r="L172" s="311"/>
      <c r="M172" s="311"/>
      <c r="N172" s="311"/>
      <c r="O172" s="266">
        <f>K172</f>
        <v>0</v>
      </c>
      <c r="P172" s="304">
        <f t="shared" si="94"/>
        <v>320000</v>
      </c>
      <c r="R172" s="306"/>
    </row>
    <row r="173" spans="1:18" ht="91.5" x14ac:dyDescent="0.2">
      <c r="A173" s="305" t="s">
        <v>386</v>
      </c>
      <c r="B173" s="305" t="s">
        <v>387</v>
      </c>
      <c r="C173" s="305" t="s">
        <v>250</v>
      </c>
      <c r="D173" s="305" t="s">
        <v>385</v>
      </c>
      <c r="E173" s="304">
        <f t="shared" si="95"/>
        <v>2486081</v>
      </c>
      <c r="F173" s="311">
        <f>(((1794000)+800000-100000)+37350.52-129155)+46885.48+37000</f>
        <v>2486081</v>
      </c>
      <c r="G173" s="311"/>
      <c r="H173" s="311"/>
      <c r="I173" s="311"/>
      <c r="J173" s="304">
        <f t="shared" si="93"/>
        <v>184114.52</v>
      </c>
      <c r="K173" s="311">
        <f>(200000+1000000-1000000)-46885.48+31000</f>
        <v>184114.52</v>
      </c>
      <c r="L173" s="311"/>
      <c r="M173" s="311"/>
      <c r="N173" s="311"/>
      <c r="O173" s="266">
        <f>K173</f>
        <v>184114.52</v>
      </c>
      <c r="P173" s="304">
        <f t="shared" si="94"/>
        <v>2670195.52</v>
      </c>
      <c r="R173" s="306" t="b">
        <f>K173='d5'!I190</f>
        <v>1</v>
      </c>
    </row>
    <row r="174" spans="1:18" ht="91.5" x14ac:dyDescent="0.2">
      <c r="A174" s="305" t="s">
        <v>886</v>
      </c>
      <c r="B174" s="305" t="s">
        <v>587</v>
      </c>
      <c r="C174" s="305" t="s">
        <v>71</v>
      </c>
      <c r="D174" s="305" t="s">
        <v>588</v>
      </c>
      <c r="E174" s="304">
        <f t="shared" si="95"/>
        <v>0</v>
      </c>
      <c r="F174" s="311"/>
      <c r="G174" s="311"/>
      <c r="H174" s="311"/>
      <c r="I174" s="311"/>
      <c r="J174" s="304">
        <f t="shared" si="93"/>
        <v>1300000</v>
      </c>
      <c r="K174" s="311">
        <f>500000+1000000-1000000+800000</f>
        <v>1300000</v>
      </c>
      <c r="L174" s="311"/>
      <c r="M174" s="311"/>
      <c r="N174" s="311"/>
      <c r="O174" s="266">
        <f>K174</f>
        <v>1300000</v>
      </c>
      <c r="P174" s="304">
        <f t="shared" si="94"/>
        <v>1300000</v>
      </c>
      <c r="R174" s="306" t="b">
        <f>K174='d5'!I192+'d5'!I191</f>
        <v>1</v>
      </c>
    </row>
    <row r="175" spans="1:18" ht="180" x14ac:dyDescent="0.2">
      <c r="A175" s="258" t="s">
        <v>244</v>
      </c>
      <c r="B175" s="258"/>
      <c r="C175" s="258"/>
      <c r="D175" s="259" t="s">
        <v>47</v>
      </c>
      <c r="E175" s="260">
        <f>E176</f>
        <v>4258100</v>
      </c>
      <c r="F175" s="260">
        <f t="shared" ref="F175:G175" si="96">F176</f>
        <v>4258100</v>
      </c>
      <c r="G175" s="260">
        <f t="shared" si="96"/>
        <v>3166500</v>
      </c>
      <c r="H175" s="260">
        <f>H176</f>
        <v>119916</v>
      </c>
      <c r="I175" s="260">
        <f t="shared" ref="I175" si="97">I176</f>
        <v>0</v>
      </c>
      <c r="J175" s="260">
        <f>J176</f>
        <v>990905.96</v>
      </c>
      <c r="K175" s="260">
        <f>K176</f>
        <v>0</v>
      </c>
      <c r="L175" s="260">
        <f>L176</f>
        <v>408505.96</v>
      </c>
      <c r="M175" s="260">
        <f t="shared" ref="M175" si="98">M176</f>
        <v>0</v>
      </c>
      <c r="N175" s="260">
        <f>N176</f>
        <v>0</v>
      </c>
      <c r="O175" s="260">
        <f>O176</f>
        <v>582400</v>
      </c>
      <c r="P175" s="260">
        <f t="shared" ref="P175" si="99">P176</f>
        <v>5249005.96</v>
      </c>
    </row>
    <row r="176" spans="1:18" ht="180" x14ac:dyDescent="0.2">
      <c r="A176" s="261" t="s">
        <v>245</v>
      </c>
      <c r="B176" s="261"/>
      <c r="C176" s="261"/>
      <c r="D176" s="262" t="s">
        <v>65</v>
      </c>
      <c r="E176" s="263">
        <f t="shared" ref="E176:N176" si="100">SUM(E177:E180)</f>
        <v>4258100</v>
      </c>
      <c r="F176" s="263">
        <f t="shared" si="100"/>
        <v>4258100</v>
      </c>
      <c r="G176" s="263">
        <f t="shared" si="100"/>
        <v>3166500</v>
      </c>
      <c r="H176" s="263">
        <f t="shared" si="100"/>
        <v>119916</v>
      </c>
      <c r="I176" s="263">
        <f t="shared" si="100"/>
        <v>0</v>
      </c>
      <c r="J176" s="263">
        <f>L176+O176</f>
        <v>990905.96</v>
      </c>
      <c r="K176" s="263">
        <f t="shared" si="100"/>
        <v>0</v>
      </c>
      <c r="L176" s="263">
        <f t="shared" si="100"/>
        <v>408505.96</v>
      </c>
      <c r="M176" s="263">
        <f t="shared" si="100"/>
        <v>0</v>
      </c>
      <c r="N176" s="263">
        <f t="shared" si="100"/>
        <v>0</v>
      </c>
      <c r="O176" s="263">
        <f>SUM(O177:O180)</f>
        <v>582400</v>
      </c>
      <c r="P176" s="263">
        <f>E176+J176</f>
        <v>5249005.96</v>
      </c>
      <c r="Q176" s="146" t="b">
        <f>P176=P178+P180+P177+P179</f>
        <v>1</v>
      </c>
      <c r="R176" s="306" t="b">
        <f>J176='d7'!F18</f>
        <v>1</v>
      </c>
    </row>
    <row r="177" spans="1:18" ht="228.75" x14ac:dyDescent="0.2">
      <c r="A177" s="305" t="s">
        <v>718</v>
      </c>
      <c r="B177" s="305" t="s">
        <v>335</v>
      </c>
      <c r="C177" s="305" t="s">
        <v>333</v>
      </c>
      <c r="D177" s="305" t="s">
        <v>334</v>
      </c>
      <c r="E177" s="304">
        <f>F177</f>
        <v>4258100</v>
      </c>
      <c r="F177" s="311">
        <f>(4223100)+35000</f>
        <v>4258100</v>
      </c>
      <c r="G177" s="311">
        <v>3166500</v>
      </c>
      <c r="H177" s="311">
        <v>119916</v>
      </c>
      <c r="I177" s="311"/>
      <c r="J177" s="304">
        <f>L177+O177</f>
        <v>0</v>
      </c>
      <c r="K177" s="311"/>
      <c r="L177" s="311"/>
      <c r="M177" s="311"/>
      <c r="N177" s="311"/>
      <c r="O177" s="266">
        <f>K177</f>
        <v>0</v>
      </c>
      <c r="P177" s="304">
        <f>E177+J177</f>
        <v>4258100</v>
      </c>
      <c r="Q177" s="146"/>
      <c r="R177" s="306"/>
    </row>
    <row r="178" spans="1:18" ht="137.25" x14ac:dyDescent="0.2">
      <c r="A178" s="305" t="s">
        <v>457</v>
      </c>
      <c r="B178" s="305" t="s">
        <v>458</v>
      </c>
      <c r="C178" s="305" t="s">
        <v>81</v>
      </c>
      <c r="D178" s="305" t="s">
        <v>82</v>
      </c>
      <c r="E178" s="304">
        <f t="shared" ref="E178:E179" si="101">F178</f>
        <v>0</v>
      </c>
      <c r="F178" s="311"/>
      <c r="G178" s="311"/>
      <c r="H178" s="311"/>
      <c r="I178" s="311"/>
      <c r="J178" s="304">
        <f>L178+O178</f>
        <v>834616</v>
      </c>
      <c r="K178" s="311"/>
      <c r="L178" s="311">
        <f>(116000)+90000+46216</f>
        <v>252216</v>
      </c>
      <c r="M178" s="311"/>
      <c r="N178" s="311"/>
      <c r="O178" s="266">
        <f>(K178+284000)+344616-130000+130000-46216</f>
        <v>582400</v>
      </c>
      <c r="P178" s="304">
        <f>E178+J178</f>
        <v>834616</v>
      </c>
    </row>
    <row r="179" spans="1:18" ht="91.5" x14ac:dyDescent="0.2">
      <c r="A179" s="305" t="s">
        <v>794</v>
      </c>
      <c r="B179" s="305" t="s">
        <v>795</v>
      </c>
      <c r="C179" s="305" t="s">
        <v>817</v>
      </c>
      <c r="D179" s="305" t="s">
        <v>816</v>
      </c>
      <c r="E179" s="304">
        <f t="shared" si="101"/>
        <v>0</v>
      </c>
      <c r="F179" s="311"/>
      <c r="G179" s="311"/>
      <c r="H179" s="311"/>
      <c r="I179" s="311"/>
      <c r="J179" s="304">
        <f>L179+O179</f>
        <v>56289.96</v>
      </c>
      <c r="K179" s="311"/>
      <c r="L179" s="311">
        <v>56289.96</v>
      </c>
      <c r="M179" s="311"/>
      <c r="N179" s="311"/>
      <c r="O179" s="266">
        <f>K179</f>
        <v>0</v>
      </c>
      <c r="P179" s="304">
        <f>E179+J179</f>
        <v>56289.96</v>
      </c>
    </row>
    <row r="180" spans="1:18" ht="91.5" x14ac:dyDescent="0.2">
      <c r="A180" s="305" t="s">
        <v>459</v>
      </c>
      <c r="B180" s="305" t="s">
        <v>460</v>
      </c>
      <c r="C180" s="305" t="s">
        <v>83</v>
      </c>
      <c r="D180" s="305" t="s">
        <v>461</v>
      </c>
      <c r="E180" s="304">
        <v>0</v>
      </c>
      <c r="F180" s="311"/>
      <c r="G180" s="311"/>
      <c r="H180" s="311"/>
      <c r="I180" s="311"/>
      <c r="J180" s="304">
        <f>L180+O180</f>
        <v>100000</v>
      </c>
      <c r="K180" s="304"/>
      <c r="L180" s="311">
        <v>100000</v>
      </c>
      <c r="M180" s="311"/>
      <c r="N180" s="311"/>
      <c r="O180" s="266">
        <f>K180</f>
        <v>0</v>
      </c>
      <c r="P180" s="304">
        <f>E180+J180</f>
        <v>100000</v>
      </c>
    </row>
    <row r="181" spans="1:18" ht="225" x14ac:dyDescent="0.2">
      <c r="A181" s="258" t="s">
        <v>242</v>
      </c>
      <c r="B181" s="258"/>
      <c r="C181" s="258"/>
      <c r="D181" s="259" t="s">
        <v>565</v>
      </c>
      <c r="E181" s="260">
        <f>E182</f>
        <v>3524300</v>
      </c>
      <c r="F181" s="260">
        <f t="shared" ref="F181:G181" si="102">F182</f>
        <v>3524300</v>
      </c>
      <c r="G181" s="260">
        <f t="shared" si="102"/>
        <v>2641000</v>
      </c>
      <c r="H181" s="260">
        <f>H182</f>
        <v>60000</v>
      </c>
      <c r="I181" s="260">
        <f t="shared" ref="I181" si="103">I182</f>
        <v>0</v>
      </c>
      <c r="J181" s="260">
        <f>J182</f>
        <v>500000</v>
      </c>
      <c r="K181" s="260">
        <f>K182</f>
        <v>500000</v>
      </c>
      <c r="L181" s="260">
        <f>L182</f>
        <v>0</v>
      </c>
      <c r="M181" s="260">
        <f t="shared" ref="M181" si="104">M182</f>
        <v>0</v>
      </c>
      <c r="N181" s="260">
        <f>N182</f>
        <v>0</v>
      </c>
      <c r="O181" s="260">
        <f>O182</f>
        <v>500000</v>
      </c>
      <c r="P181" s="260">
        <f t="shared" ref="P181" si="105">P182</f>
        <v>4024300</v>
      </c>
    </row>
    <row r="182" spans="1:18" ht="270" x14ac:dyDescent="0.2">
      <c r="A182" s="261" t="s">
        <v>243</v>
      </c>
      <c r="B182" s="261"/>
      <c r="C182" s="261"/>
      <c r="D182" s="262" t="s">
        <v>566</v>
      </c>
      <c r="E182" s="263">
        <f>SUM(E183:E185)</f>
        <v>3524300</v>
      </c>
      <c r="F182" s="263">
        <f t="shared" ref="F182:N182" si="106">SUM(F183:F185)</f>
        <v>3524300</v>
      </c>
      <c r="G182" s="263">
        <f t="shared" si="106"/>
        <v>2641000</v>
      </c>
      <c r="H182" s="263">
        <f t="shared" si="106"/>
        <v>60000</v>
      </c>
      <c r="I182" s="263">
        <f t="shared" si="106"/>
        <v>0</v>
      </c>
      <c r="J182" s="263">
        <f>L182+O182</f>
        <v>500000</v>
      </c>
      <c r="K182" s="263">
        <f t="shared" si="106"/>
        <v>500000</v>
      </c>
      <c r="L182" s="263">
        <f t="shared" si="106"/>
        <v>0</v>
      </c>
      <c r="M182" s="263">
        <f t="shared" si="106"/>
        <v>0</v>
      </c>
      <c r="N182" s="263">
        <f t="shared" si="106"/>
        <v>0</v>
      </c>
      <c r="O182" s="263">
        <f>SUM(O183:O185)</f>
        <v>500000</v>
      </c>
      <c r="P182" s="263">
        <f>E182+J182</f>
        <v>4024300</v>
      </c>
      <c r="Q182" s="146" t="b">
        <f>P182=P184+P185+P183</f>
        <v>1</v>
      </c>
      <c r="R182" s="306" t="b">
        <f>K182='d5'!I193</f>
        <v>0</v>
      </c>
    </row>
    <row r="183" spans="1:18" ht="228.75" x14ac:dyDescent="0.2">
      <c r="A183" s="305" t="s">
        <v>714</v>
      </c>
      <c r="B183" s="305" t="s">
        <v>335</v>
      </c>
      <c r="C183" s="305" t="s">
        <v>333</v>
      </c>
      <c r="D183" s="305" t="s">
        <v>334</v>
      </c>
      <c r="E183" s="304">
        <f>F183</f>
        <v>3524300</v>
      </c>
      <c r="F183" s="311">
        <f>(3469300)+55000</f>
        <v>3524300</v>
      </c>
      <c r="G183" s="311">
        <v>2641000</v>
      </c>
      <c r="H183" s="311">
        <v>60000</v>
      </c>
      <c r="I183" s="311"/>
      <c r="J183" s="304">
        <f>L183+O183</f>
        <v>0</v>
      </c>
      <c r="K183" s="311"/>
      <c r="L183" s="311"/>
      <c r="M183" s="311"/>
      <c r="N183" s="311"/>
      <c r="O183" s="266">
        <f>K183</f>
        <v>0</v>
      </c>
      <c r="P183" s="304">
        <f>E183+J183</f>
        <v>3524300</v>
      </c>
      <c r="Q183" s="146"/>
      <c r="R183" s="306"/>
    </row>
    <row r="184" spans="1:18" ht="91.5" x14ac:dyDescent="0.2">
      <c r="A184" s="305" t="s">
        <v>451</v>
      </c>
      <c r="B184" s="305" t="s">
        <v>452</v>
      </c>
      <c r="C184" s="305" t="s">
        <v>453</v>
      </c>
      <c r="D184" s="305" t="s">
        <v>450</v>
      </c>
      <c r="E184" s="304">
        <f>F184</f>
        <v>0</v>
      </c>
      <c r="F184" s="311">
        <v>0</v>
      </c>
      <c r="G184" s="311"/>
      <c r="H184" s="311"/>
      <c r="I184" s="311"/>
      <c r="J184" s="304">
        <f>L184+O184</f>
        <v>410000</v>
      </c>
      <c r="K184" s="311">
        <v>410000</v>
      </c>
      <c r="L184" s="311"/>
      <c r="M184" s="311"/>
      <c r="N184" s="311"/>
      <c r="O184" s="266">
        <f>K184</f>
        <v>410000</v>
      </c>
      <c r="P184" s="304">
        <f>E184+J184</f>
        <v>410000</v>
      </c>
    </row>
    <row r="185" spans="1:18" ht="137.25" x14ac:dyDescent="0.2">
      <c r="A185" s="305" t="s">
        <v>595</v>
      </c>
      <c r="B185" s="305" t="s">
        <v>596</v>
      </c>
      <c r="C185" s="305" t="s">
        <v>250</v>
      </c>
      <c r="D185" s="305" t="s">
        <v>597</v>
      </c>
      <c r="E185" s="304">
        <f>F185</f>
        <v>0</v>
      </c>
      <c r="F185" s="311">
        <v>0</v>
      </c>
      <c r="G185" s="311"/>
      <c r="H185" s="311"/>
      <c r="I185" s="311"/>
      <c r="J185" s="304">
        <f>L185+O185</f>
        <v>90000</v>
      </c>
      <c r="K185" s="311">
        <v>90000</v>
      </c>
      <c r="L185" s="311"/>
      <c r="M185" s="311"/>
      <c r="N185" s="311"/>
      <c r="O185" s="266">
        <f>K185</f>
        <v>90000</v>
      </c>
      <c r="P185" s="304">
        <f>E185+J185</f>
        <v>90000</v>
      </c>
    </row>
    <row r="186" spans="1:18" ht="135" x14ac:dyDescent="0.2">
      <c r="A186" s="258" t="s">
        <v>248</v>
      </c>
      <c r="B186" s="258"/>
      <c r="C186" s="258"/>
      <c r="D186" s="259" t="s">
        <v>48</v>
      </c>
      <c r="E186" s="260">
        <f>E187</f>
        <v>63174853</v>
      </c>
      <c r="F186" s="260">
        <f t="shared" ref="F186:G186" si="107">F187</f>
        <v>63174853</v>
      </c>
      <c r="G186" s="260">
        <f t="shared" si="107"/>
        <v>5159100</v>
      </c>
      <c r="H186" s="260">
        <f>H187</f>
        <v>142897</v>
      </c>
      <c r="I186" s="260">
        <f t="shared" ref="I186" si="108">I187</f>
        <v>0</v>
      </c>
      <c r="J186" s="260">
        <f>J187</f>
        <v>62500</v>
      </c>
      <c r="K186" s="260">
        <f>K187</f>
        <v>62500</v>
      </c>
      <c r="L186" s="260">
        <f>L187</f>
        <v>0</v>
      </c>
      <c r="M186" s="260">
        <f t="shared" ref="M186" si="109">M187</f>
        <v>0</v>
      </c>
      <c r="N186" s="260">
        <f>N187</f>
        <v>0</v>
      </c>
      <c r="O186" s="260">
        <f>O187</f>
        <v>62500</v>
      </c>
      <c r="P186" s="260">
        <f t="shared" ref="P186" si="110">P187</f>
        <v>63237353</v>
      </c>
    </row>
    <row r="187" spans="1:18" ht="135" x14ac:dyDescent="0.2">
      <c r="A187" s="261" t="s">
        <v>249</v>
      </c>
      <c r="B187" s="261"/>
      <c r="C187" s="261"/>
      <c r="D187" s="262" t="s">
        <v>66</v>
      </c>
      <c r="E187" s="263">
        <f>SUM(E188:E191)</f>
        <v>63174853</v>
      </c>
      <c r="F187" s="263">
        <f t="shared" ref="F187:N187" si="111">SUM(F188:F191)</f>
        <v>63174853</v>
      </c>
      <c r="G187" s="263">
        <f t="shared" si="111"/>
        <v>5159100</v>
      </c>
      <c r="H187" s="263">
        <f t="shared" si="111"/>
        <v>142897</v>
      </c>
      <c r="I187" s="263">
        <f t="shared" si="111"/>
        <v>0</v>
      </c>
      <c r="J187" s="263">
        <f>L187+O187</f>
        <v>62500</v>
      </c>
      <c r="K187" s="263">
        <f>SUM(K188:K191)</f>
        <v>62500</v>
      </c>
      <c r="L187" s="263">
        <f t="shared" si="111"/>
        <v>0</v>
      </c>
      <c r="M187" s="263">
        <f t="shared" si="111"/>
        <v>0</v>
      </c>
      <c r="N187" s="263">
        <f t="shared" si="111"/>
        <v>0</v>
      </c>
      <c r="O187" s="263">
        <f>SUM(O188:O191)</f>
        <v>62500</v>
      </c>
      <c r="P187" s="263">
        <f>E187+J187</f>
        <v>63237353</v>
      </c>
      <c r="Q187" s="146" t="b">
        <f>P187=P189+P190+P191+P188</f>
        <v>1</v>
      </c>
      <c r="R187" s="306" t="b">
        <f>K187='d5'!I201</f>
        <v>1</v>
      </c>
    </row>
    <row r="188" spans="1:18" ht="228.75" x14ac:dyDescent="0.2">
      <c r="A188" s="305" t="s">
        <v>716</v>
      </c>
      <c r="B188" s="305" t="s">
        <v>335</v>
      </c>
      <c r="C188" s="305" t="s">
        <v>333</v>
      </c>
      <c r="D188" s="305" t="s">
        <v>334</v>
      </c>
      <c r="E188" s="304">
        <f>F188</f>
        <v>6853335</v>
      </c>
      <c r="F188" s="311">
        <f>((6887800)+40000)-95000+20000+535</f>
        <v>6853335</v>
      </c>
      <c r="G188" s="311">
        <f>(5254100)-95000</f>
        <v>5159100</v>
      </c>
      <c r="H188" s="311">
        <f>(142362)+535</f>
        <v>142897</v>
      </c>
      <c r="I188" s="311"/>
      <c r="J188" s="304">
        <f>L188+O188</f>
        <v>62500</v>
      </c>
      <c r="K188" s="311">
        <f>(50000)+12500</f>
        <v>62500</v>
      </c>
      <c r="L188" s="311"/>
      <c r="M188" s="311"/>
      <c r="N188" s="311"/>
      <c r="O188" s="266">
        <f>K188</f>
        <v>62500</v>
      </c>
      <c r="P188" s="304">
        <f>E188+J188</f>
        <v>6915835</v>
      </c>
      <c r="Q188" s="146"/>
      <c r="R188" s="306"/>
    </row>
    <row r="189" spans="1:18" ht="46.5" x14ac:dyDescent="0.2">
      <c r="A189" s="250">
        <v>3718600</v>
      </c>
      <c r="B189" s="250">
        <v>8600</v>
      </c>
      <c r="C189" s="305" t="s">
        <v>575</v>
      </c>
      <c r="D189" s="250" t="s">
        <v>576</v>
      </c>
      <c r="E189" s="304">
        <f>F189</f>
        <v>1282700</v>
      </c>
      <c r="F189" s="311">
        <v>1282700</v>
      </c>
      <c r="G189" s="311"/>
      <c r="H189" s="311"/>
      <c r="I189" s="311"/>
      <c r="J189" s="304">
        <f>L189+O189</f>
        <v>0</v>
      </c>
      <c r="K189" s="311"/>
      <c r="L189" s="311"/>
      <c r="M189" s="311"/>
      <c r="N189" s="311"/>
      <c r="O189" s="266">
        <f>K189</f>
        <v>0</v>
      </c>
      <c r="P189" s="304">
        <f>E189+J189</f>
        <v>1282700</v>
      </c>
    </row>
    <row r="190" spans="1:18" ht="69" customHeight="1" x14ac:dyDescent="0.2">
      <c r="A190" s="250">
        <v>3718700</v>
      </c>
      <c r="B190" s="250">
        <v>8700</v>
      </c>
      <c r="C190" s="305" t="s">
        <v>70</v>
      </c>
      <c r="D190" s="269" t="s">
        <v>68</v>
      </c>
      <c r="E190" s="304">
        <f>F190</f>
        <v>652818</v>
      </c>
      <c r="F190" s="311">
        <f>(((5000000-655000)-3000000+1000000-800000-576000)-300000)+500000-134495-6687+500000-500000-375000</f>
        <v>652818</v>
      </c>
      <c r="G190" s="311"/>
      <c r="H190" s="311"/>
      <c r="I190" s="311"/>
      <c r="J190" s="304">
        <f>L190+O190</f>
        <v>0</v>
      </c>
      <c r="K190" s="311"/>
      <c r="L190" s="311"/>
      <c r="M190" s="311"/>
      <c r="N190" s="311"/>
      <c r="O190" s="266">
        <f>K190</f>
        <v>0</v>
      </c>
      <c r="P190" s="304">
        <f>E190+J190</f>
        <v>652818</v>
      </c>
    </row>
    <row r="191" spans="1:18" ht="65.25" customHeight="1" x14ac:dyDescent="0.2">
      <c r="A191" s="250">
        <v>3719110</v>
      </c>
      <c r="B191" s="250">
        <v>9110</v>
      </c>
      <c r="C191" s="305" t="s">
        <v>71</v>
      </c>
      <c r="D191" s="269" t="s">
        <v>69</v>
      </c>
      <c r="E191" s="304">
        <f>F191</f>
        <v>54386000</v>
      </c>
      <c r="F191" s="311">
        <v>54386000</v>
      </c>
      <c r="G191" s="311"/>
      <c r="H191" s="311"/>
      <c r="I191" s="311"/>
      <c r="J191" s="304">
        <f>L191+O191</f>
        <v>0</v>
      </c>
      <c r="K191" s="311"/>
      <c r="L191" s="311"/>
      <c r="M191" s="311"/>
      <c r="N191" s="311"/>
      <c r="O191" s="266">
        <f>K191</f>
        <v>0</v>
      </c>
      <c r="P191" s="304">
        <f>E191+J191</f>
        <v>54386000</v>
      </c>
    </row>
    <row r="192" spans="1:18" ht="111.75" customHeight="1" x14ac:dyDescent="0.55000000000000004">
      <c r="A192" s="180" t="s">
        <v>633</v>
      </c>
      <c r="B192" s="180" t="s">
        <v>633</v>
      </c>
      <c r="C192" s="180" t="s">
        <v>633</v>
      </c>
      <c r="D192" s="181" t="s">
        <v>649</v>
      </c>
      <c r="E192" s="137">
        <f>E14+E26+E117+E39+E53+E107+E133+E155+E164+E187+E169+E176+E182</f>
        <v>2665506861.2600002</v>
      </c>
      <c r="F192" s="137">
        <f>F14+F26+F117+F39+F52+F107+F133+F155+F164+F187+F169+F176+F182</f>
        <v>2665506861.2600002</v>
      </c>
      <c r="G192" s="137">
        <f t="shared" ref="G192:O192" si="112">G14+G26+G117+G39+G53+G107+G133+G155+G164+G187+G169+G176+G182</f>
        <v>866701198.39999998</v>
      </c>
      <c r="H192" s="137">
        <f t="shared" si="112"/>
        <v>97112634</v>
      </c>
      <c r="I192" s="137">
        <f t="shared" si="112"/>
        <v>0</v>
      </c>
      <c r="J192" s="137">
        <f t="shared" si="112"/>
        <v>601265868.5</v>
      </c>
      <c r="K192" s="137">
        <f t="shared" si="112"/>
        <v>474416044.34999996</v>
      </c>
      <c r="L192" s="137">
        <f t="shared" si="112"/>
        <v>124252836.53</v>
      </c>
      <c r="M192" s="137">
        <f t="shared" si="112"/>
        <v>34317186</v>
      </c>
      <c r="N192" s="137">
        <f t="shared" si="112"/>
        <v>9171331.4000000004</v>
      </c>
      <c r="O192" s="137">
        <f t="shared" si="112"/>
        <v>477013031.96999997</v>
      </c>
      <c r="P192" s="137">
        <f>P14+P26+P117+P39+P52+P107+P133+P155+P164+P187+P169+P176+P182</f>
        <v>3266772729.7600002</v>
      </c>
      <c r="Q192" s="14" t="b">
        <f>K192='d5'!I204</f>
        <v>0</v>
      </c>
    </row>
    <row r="193" spans="1:18" ht="45.75" x14ac:dyDescent="0.2">
      <c r="A193" s="510" t="s">
        <v>448</v>
      </c>
      <c r="B193" s="511"/>
      <c r="C193" s="511"/>
      <c r="D193" s="511"/>
      <c r="E193" s="511"/>
      <c r="F193" s="511"/>
      <c r="G193" s="511"/>
      <c r="H193" s="511"/>
      <c r="I193" s="511"/>
      <c r="J193" s="511"/>
      <c r="K193" s="511"/>
      <c r="L193" s="511"/>
      <c r="M193" s="511"/>
      <c r="N193" s="511"/>
      <c r="O193" s="511"/>
      <c r="P193" s="511"/>
      <c r="Q193" s="12"/>
    </row>
    <row r="194" spans="1:18" ht="45.75" x14ac:dyDescent="0.2">
      <c r="A194" s="116"/>
      <c r="B194" s="117"/>
      <c r="C194" s="117"/>
      <c r="D194" s="117"/>
      <c r="E194" s="200">
        <f>F194</f>
        <v>2665506861.2600002</v>
      </c>
      <c r="F194" s="200">
        <f>(2631757939.44)+34531021.82-375000+164900-572000</f>
        <v>2665506861.2600002</v>
      </c>
      <c r="G194" s="200">
        <f>(849422587+143550+5928000+86028.4+389900+20400+13948+160000+82000+748360)+2684206+118715+13503+404015+595400+42034+99919+2501008+114502+13005+730163+33768+2785+406580+315300+16430+7160000-5032600+20500+509100-1557388-158800-490000-95628+50000+54454+16100+23200+97250+7000+31848+95000-46920-95000+1065000+16430-54454</f>
        <v>866701198.39999998</v>
      </c>
      <c r="H194" s="200">
        <f>((96770291+4000+2000+5000+427000+69535+5000)+5658+784-146243+500)-307000+994000+300-66600+1600+25300+4000-43760+535+40000-58266-49000-572000</f>
        <v>97112634</v>
      </c>
      <c r="I194" s="200">
        <v>0</v>
      </c>
      <c r="J194" s="200">
        <f>(577379528.31)+16104240.19+375000+7000000-164900+572000</f>
        <v>601265868.5</v>
      </c>
      <c r="K194" s="200">
        <f>(452277870.83)+16104240.19+1458.33-100000-1649625+375000+7000000-164900+572000</f>
        <v>474416044.34999996</v>
      </c>
      <c r="L194" s="200">
        <f>(122309181)+100000+20000-75721.47+1649625+188635+61117</f>
        <v>124252836.53</v>
      </c>
      <c r="M194" s="200">
        <f>(33043505-34100)+935200+197651+139930+35000</f>
        <v>34317186</v>
      </c>
      <c r="N194" s="200">
        <f>((8774975)+96747.72)+36000+69000+13000+180300+1308.68</f>
        <v>9171331.4000000004</v>
      </c>
      <c r="O194" s="200">
        <f>(455070347.31)+16104240.19-100000-20000+75721.47-188635-1649625-61117+375000+7000000-164900+572000</f>
        <v>477013031.97000003</v>
      </c>
      <c r="P194" s="200">
        <f>E194+J194</f>
        <v>3266772729.7600002</v>
      </c>
      <c r="Q194" s="12"/>
      <c r="R194" s="12"/>
    </row>
    <row r="195" spans="1:18" ht="45.75" x14ac:dyDescent="0.2">
      <c r="A195" s="116"/>
      <c r="B195" s="117"/>
      <c r="C195" s="117"/>
      <c r="D195" s="117"/>
      <c r="E195" s="117"/>
      <c r="F195" s="117"/>
      <c r="G195" s="117"/>
      <c r="H195" s="117"/>
      <c r="I195" s="117"/>
      <c r="J195" s="117"/>
      <c r="K195" s="117"/>
      <c r="L195" s="117"/>
      <c r="M195" s="117"/>
      <c r="N195" s="117"/>
      <c r="O195" s="117"/>
      <c r="P195" s="117"/>
      <c r="Q195" s="12"/>
    </row>
    <row r="196" spans="1:18" ht="45.75" x14ac:dyDescent="0.65">
      <c r="A196" s="308"/>
      <c r="B196" s="308"/>
      <c r="C196" s="308"/>
      <c r="D196" s="509" t="s">
        <v>902</v>
      </c>
      <c r="E196" s="509"/>
      <c r="F196" s="509"/>
      <c r="G196" s="509"/>
      <c r="H196" s="509"/>
      <c r="I196" s="509"/>
      <c r="J196" s="509"/>
      <c r="K196" s="509"/>
      <c r="L196" s="509"/>
      <c r="M196" s="509"/>
      <c r="N196" s="509"/>
      <c r="O196" s="509"/>
      <c r="P196" s="509"/>
      <c r="Q196" s="13"/>
    </row>
    <row r="197" spans="1:18" ht="45.75" x14ac:dyDescent="0.2">
      <c r="E197" s="24"/>
      <c r="F197" s="3"/>
      <c r="J197" s="197"/>
      <c r="K197" s="197"/>
      <c r="O197" s="128"/>
      <c r="P197" s="19"/>
    </row>
    <row r="198" spans="1:18" ht="45.75" x14ac:dyDescent="0.65">
      <c r="D198" s="509" t="s">
        <v>225</v>
      </c>
      <c r="E198" s="509"/>
      <c r="F198" s="509"/>
      <c r="G198" s="509"/>
      <c r="H198" s="509"/>
      <c r="I198" s="509"/>
      <c r="J198" s="509"/>
      <c r="K198" s="509"/>
      <c r="L198" s="509"/>
      <c r="M198" s="509"/>
      <c r="N198" s="509"/>
      <c r="O198" s="509"/>
      <c r="P198" s="509"/>
      <c r="Q198" s="14"/>
    </row>
    <row r="199" spans="1:18" x14ac:dyDescent="0.2">
      <c r="E199" s="4"/>
      <c r="F199" s="3"/>
      <c r="J199" s="4"/>
      <c r="K199" s="4"/>
    </row>
    <row r="200" spans="1:18" x14ac:dyDescent="0.2">
      <c r="E200" s="4"/>
      <c r="F200" s="3"/>
      <c r="J200" s="4"/>
      <c r="K200" s="4"/>
    </row>
    <row r="201" spans="1:18" ht="60.75" x14ac:dyDescent="0.2">
      <c r="E201" s="114" t="b">
        <f>E194=E192</f>
        <v>1</v>
      </c>
      <c r="F201" s="114" t="b">
        <f>F194=F192</f>
        <v>1</v>
      </c>
      <c r="G201" s="114" t="b">
        <f>G194=G192</f>
        <v>1</v>
      </c>
      <c r="H201" s="114" t="b">
        <f t="shared" ref="H201:O201" si="113">H194=H192</f>
        <v>1</v>
      </c>
      <c r="I201" s="114" t="b">
        <f>I194=I192</f>
        <v>1</v>
      </c>
      <c r="J201" s="114" t="b">
        <f>J194=J192</f>
        <v>1</v>
      </c>
      <c r="K201" s="114" t="b">
        <f>K194=K192</f>
        <v>1</v>
      </c>
      <c r="L201" s="114" t="b">
        <f t="shared" si="113"/>
        <v>1</v>
      </c>
      <c r="M201" s="114" t="b">
        <f t="shared" si="113"/>
        <v>1</v>
      </c>
      <c r="N201" s="114" t="b">
        <f t="shared" si="113"/>
        <v>1</v>
      </c>
      <c r="O201" s="114" t="b">
        <f t="shared" si="113"/>
        <v>1</v>
      </c>
      <c r="P201" s="114" t="b">
        <f>P194=P192</f>
        <v>1</v>
      </c>
    </row>
    <row r="202" spans="1:18" ht="60.75" x14ac:dyDescent="0.55000000000000004">
      <c r="E202" s="19"/>
      <c r="F202" s="244">
        <f>F190/E192*100</f>
        <v>2.4491326940025555E-2</v>
      </c>
      <c r="G202" s="128" t="s">
        <v>485</v>
      </c>
      <c r="I202" s="111"/>
      <c r="J202" s="114" t="b">
        <f>J194=L194+O194</f>
        <v>1</v>
      </c>
      <c r="K202" s="198"/>
      <c r="L202" s="114">
        <f>L192-L194</f>
        <v>0</v>
      </c>
      <c r="M202" s="111"/>
      <c r="N202" s="111"/>
      <c r="O202" s="114">
        <f>O192-O194</f>
        <v>0</v>
      </c>
      <c r="P202" s="14" t="b">
        <f>E192+J192=P192</f>
        <v>1</v>
      </c>
    </row>
    <row r="203" spans="1:18" x14ac:dyDescent="0.2">
      <c r="E203" s="6"/>
      <c r="F203" s="176"/>
      <c r="G203" s="6"/>
      <c r="H203" s="6"/>
      <c r="I203" s="6"/>
      <c r="J203" s="4"/>
      <c r="K203" s="4"/>
    </row>
    <row r="204" spans="1:18" ht="45.75" x14ac:dyDescent="0.2">
      <c r="A204" s="300"/>
      <c r="B204" s="300"/>
      <c r="C204" s="300"/>
      <c r="D204" s="10"/>
      <c r="E204" s="145" t="b">
        <f>E192=F192</f>
        <v>1</v>
      </c>
      <c r="F204" s="128">
        <f>F190/P192*100</f>
        <v>1.9983575657188755E-2</v>
      </c>
      <c r="G204" s="128" t="s">
        <v>485</v>
      </c>
      <c r="I204" s="10"/>
      <c r="J204" s="145"/>
      <c r="K204" s="145">
        <f>K192-K194</f>
        <v>0</v>
      </c>
      <c r="L204" s="300"/>
      <c r="M204" s="300"/>
      <c r="N204" s="300"/>
      <c r="O204" s="300"/>
      <c r="P204" s="300"/>
    </row>
    <row r="205" spans="1:18" ht="60.75" x14ac:dyDescent="0.2">
      <c r="D205" s="10"/>
      <c r="E205" s="145"/>
      <c r="F205" s="243">
        <f>F194-F192</f>
        <v>0</v>
      </c>
      <c r="G205" s="23"/>
      <c r="I205" s="10"/>
      <c r="J205" s="145"/>
      <c r="K205" s="145"/>
      <c r="P205" s="114"/>
      <c r="Q205" s="115"/>
      <c r="R205" s="114"/>
    </row>
    <row r="206" spans="1:18" ht="60.75" x14ac:dyDescent="0.2">
      <c r="A206" s="300"/>
      <c r="B206" s="300"/>
      <c r="C206" s="300"/>
      <c r="D206" s="10"/>
      <c r="E206" s="145"/>
      <c r="F206" s="128"/>
      <c r="G206" s="3"/>
      <c r="I206" s="10"/>
      <c r="J206" s="145"/>
      <c r="K206" s="145"/>
      <c r="L206" s="300"/>
      <c r="M206" s="300"/>
      <c r="N206" s="300"/>
      <c r="O206" s="114">
        <v>1458.33</v>
      </c>
      <c r="P206" s="114"/>
      <c r="Q206" s="115"/>
      <c r="R206" s="114"/>
    </row>
    <row r="207" spans="1:18" ht="60.75" x14ac:dyDescent="0.2">
      <c r="D207" s="10"/>
      <c r="E207" s="145"/>
      <c r="F207" s="177"/>
      <c r="O207" s="114"/>
      <c r="P207" s="114"/>
    </row>
    <row r="208" spans="1:18" ht="60.75" x14ac:dyDescent="0.2">
      <c r="A208" s="300"/>
      <c r="B208" s="300"/>
      <c r="C208" s="300"/>
      <c r="D208" s="10"/>
      <c r="E208" s="145"/>
      <c r="F208" s="128"/>
      <c r="G208" s="3"/>
      <c r="J208" s="4"/>
      <c r="K208" s="4"/>
      <c r="L208" s="300"/>
      <c r="M208" s="300"/>
      <c r="N208" s="300"/>
      <c r="O208" s="300"/>
      <c r="P208" s="114"/>
    </row>
    <row r="209" spans="1:16" ht="62.25" x14ac:dyDescent="0.8">
      <c r="A209" s="300"/>
      <c r="B209" s="300"/>
      <c r="C209" s="300"/>
      <c r="D209" s="300"/>
      <c r="E209" s="21"/>
      <c r="F209" s="128"/>
      <c r="J209" s="4"/>
      <c r="K209" s="4"/>
      <c r="L209" s="300"/>
      <c r="M209" s="300"/>
      <c r="N209" s="300"/>
      <c r="O209" s="300"/>
      <c r="P209" s="151"/>
    </row>
    <row r="210" spans="1:16" ht="45.75" x14ac:dyDescent="0.2">
      <c r="E210" s="22"/>
      <c r="F210" s="177"/>
    </row>
    <row r="211" spans="1:16" ht="45.75" x14ac:dyDescent="0.2">
      <c r="A211" s="300"/>
      <c r="B211" s="300"/>
      <c r="C211" s="300"/>
      <c r="D211" s="300"/>
      <c r="E211" s="21"/>
      <c r="F211" s="128"/>
      <c r="L211" s="300"/>
      <c r="M211" s="300"/>
      <c r="N211" s="300"/>
      <c r="O211" s="300"/>
      <c r="P211" s="300"/>
    </row>
    <row r="212" spans="1:16" ht="45.75" x14ac:dyDescent="0.2">
      <c r="E212" s="22"/>
      <c r="F212" s="177"/>
    </row>
    <row r="213" spans="1:16" ht="45.75" x14ac:dyDescent="0.2">
      <c r="E213" s="22"/>
      <c r="F213" s="177"/>
    </row>
    <row r="214" spans="1:16" ht="45.75" x14ac:dyDescent="0.2">
      <c r="E214" s="22"/>
      <c r="F214" s="177"/>
    </row>
    <row r="215" spans="1:16" ht="45.75" x14ac:dyDescent="0.2">
      <c r="A215" s="300"/>
      <c r="B215" s="300"/>
      <c r="C215" s="300"/>
      <c r="D215" s="300"/>
      <c r="E215" s="22"/>
      <c r="F215" s="177"/>
      <c r="G215" s="300"/>
      <c r="H215" s="300"/>
      <c r="I215" s="300"/>
      <c r="J215" s="300"/>
      <c r="K215" s="300"/>
      <c r="L215" s="300"/>
      <c r="M215" s="300"/>
      <c r="N215" s="300"/>
      <c r="O215" s="300"/>
      <c r="P215" s="300"/>
    </row>
    <row r="216" spans="1:16" ht="45.75" x14ac:dyDescent="0.2">
      <c r="A216" s="300"/>
      <c r="B216" s="300"/>
      <c r="C216" s="300"/>
      <c r="D216" s="300"/>
      <c r="E216" s="22"/>
      <c r="F216" s="177"/>
      <c r="G216" s="300"/>
      <c r="H216" s="300"/>
      <c r="I216" s="300"/>
      <c r="J216" s="300"/>
      <c r="K216" s="300"/>
      <c r="L216" s="300"/>
      <c r="M216" s="300"/>
      <c r="N216" s="300"/>
      <c r="O216" s="300"/>
      <c r="P216" s="300"/>
    </row>
    <row r="217" spans="1:16" ht="45.75" x14ac:dyDescent="0.2">
      <c r="A217" s="300"/>
      <c r="B217" s="300"/>
      <c r="C217" s="300"/>
      <c r="D217" s="300"/>
      <c r="E217" s="22"/>
      <c r="F217" s="177"/>
      <c r="G217" s="300"/>
      <c r="H217" s="300"/>
      <c r="I217" s="300"/>
      <c r="J217" s="300"/>
      <c r="K217" s="300"/>
      <c r="L217" s="300"/>
      <c r="M217" s="300"/>
      <c r="N217" s="300"/>
      <c r="O217" s="300"/>
      <c r="P217" s="300"/>
    </row>
    <row r="218" spans="1:16" ht="45.75" x14ac:dyDescent="0.2">
      <c r="A218" s="300"/>
      <c r="B218" s="300"/>
      <c r="C218" s="300"/>
      <c r="D218" s="300"/>
      <c r="E218" s="22"/>
      <c r="F218" s="177"/>
      <c r="G218" s="300"/>
      <c r="H218" s="300"/>
      <c r="I218" s="300"/>
      <c r="J218" s="300"/>
      <c r="K218" s="300"/>
      <c r="L218" s="300"/>
      <c r="M218" s="300"/>
      <c r="N218" s="300"/>
      <c r="O218" s="300"/>
      <c r="P218" s="300"/>
    </row>
  </sheetData>
  <mergeCells count="131">
    <mergeCell ref="A193:P193"/>
    <mergeCell ref="D196:P196"/>
    <mergeCell ref="D198:P198"/>
    <mergeCell ref="K151:K152"/>
    <mergeCell ref="L151:L152"/>
    <mergeCell ref="M151:M152"/>
    <mergeCell ref="N151:N152"/>
    <mergeCell ref="O151:O152"/>
    <mergeCell ref="P151:P152"/>
    <mergeCell ref="A151:A152"/>
    <mergeCell ref="B151:B152"/>
    <mergeCell ref="C151:C152"/>
    <mergeCell ref="E151:E152"/>
    <mergeCell ref="F151:F152"/>
    <mergeCell ref="G151:G152"/>
    <mergeCell ref="H151:H152"/>
    <mergeCell ref="I151:I152"/>
    <mergeCell ref="J151:J152"/>
    <mergeCell ref="L96:L98"/>
    <mergeCell ref="M96:M98"/>
    <mergeCell ref="N96:N98"/>
    <mergeCell ref="P104:P105"/>
    <mergeCell ref="J104:J105"/>
    <mergeCell ref="K104:K105"/>
    <mergeCell ref="L104:L105"/>
    <mergeCell ref="M104:M105"/>
    <mergeCell ref="N104:N105"/>
    <mergeCell ref="O104:O105"/>
    <mergeCell ref="O96:O98"/>
    <mergeCell ref="P96:P98"/>
    <mergeCell ref="J96:J98"/>
    <mergeCell ref="K96:K98"/>
    <mergeCell ref="A104:A105"/>
    <mergeCell ref="B104:B105"/>
    <mergeCell ref="C104:C105"/>
    <mergeCell ref="E104:E105"/>
    <mergeCell ref="F104:F105"/>
    <mergeCell ref="G104:G105"/>
    <mergeCell ref="H104:H105"/>
    <mergeCell ref="I104:I105"/>
    <mergeCell ref="I96:I98"/>
    <mergeCell ref="A96:A98"/>
    <mergeCell ref="B96:B98"/>
    <mergeCell ref="C96:C98"/>
    <mergeCell ref="E96:E98"/>
    <mergeCell ref="F96:F98"/>
    <mergeCell ref="G96:G98"/>
    <mergeCell ref="H96:H98"/>
    <mergeCell ref="R90:R92"/>
    <mergeCell ref="K90:K92"/>
    <mergeCell ref="L90:L92"/>
    <mergeCell ref="M90:M92"/>
    <mergeCell ref="N90:N92"/>
    <mergeCell ref="O93:O95"/>
    <mergeCell ref="P93:P95"/>
    <mergeCell ref="R93:R95"/>
    <mergeCell ref="K93:K95"/>
    <mergeCell ref="L93:L95"/>
    <mergeCell ref="M93:M95"/>
    <mergeCell ref="N93:N95"/>
    <mergeCell ref="A93:A95"/>
    <mergeCell ref="B93:B95"/>
    <mergeCell ref="C93:C95"/>
    <mergeCell ref="E93:E95"/>
    <mergeCell ref="F93:F95"/>
    <mergeCell ref="G93:G95"/>
    <mergeCell ref="H93:H95"/>
    <mergeCell ref="I90:I92"/>
    <mergeCell ref="J90:J92"/>
    <mergeCell ref="I93:I95"/>
    <mergeCell ref="J93:J95"/>
    <mergeCell ref="N78:N79"/>
    <mergeCell ref="O78:O79"/>
    <mergeCell ref="P78:P79"/>
    <mergeCell ref="A90:A92"/>
    <mergeCell ref="B90:B92"/>
    <mergeCell ref="C90:C92"/>
    <mergeCell ref="E90:E92"/>
    <mergeCell ref="F90:F92"/>
    <mergeCell ref="G90:G92"/>
    <mergeCell ref="H90:H92"/>
    <mergeCell ref="H78:H79"/>
    <mergeCell ref="I78:I79"/>
    <mergeCell ref="J78:J79"/>
    <mergeCell ref="K78:K79"/>
    <mergeCell ref="L78:L79"/>
    <mergeCell ref="M78:M79"/>
    <mergeCell ref="A78:A79"/>
    <mergeCell ref="B78:B79"/>
    <mergeCell ref="C78:C79"/>
    <mergeCell ref="E78:E79"/>
    <mergeCell ref="F78:F79"/>
    <mergeCell ref="G78:G79"/>
    <mergeCell ref="O90:O92"/>
    <mergeCell ref="P90:P92"/>
    <mergeCell ref="K19:K20"/>
    <mergeCell ref="L19:L20"/>
    <mergeCell ref="M19:M20"/>
    <mergeCell ref="N19:N20"/>
    <mergeCell ref="O19:O20"/>
    <mergeCell ref="P19:P20"/>
    <mergeCell ref="O10:O11"/>
    <mergeCell ref="A19:A20"/>
    <mergeCell ref="B19:B20"/>
    <mergeCell ref="C19:C20"/>
    <mergeCell ref="E19:E20"/>
    <mergeCell ref="F19:F20"/>
    <mergeCell ref="G19:G20"/>
    <mergeCell ref="H19:H20"/>
    <mergeCell ref="I19:I20"/>
    <mergeCell ref="J19:J20"/>
    <mergeCell ref="N2:Q2"/>
    <mergeCell ref="N3:Q3"/>
    <mergeCell ref="O4:P4"/>
    <mergeCell ref="A6:P6"/>
    <mergeCell ref="A7:P7"/>
    <mergeCell ref="A9:A11"/>
    <mergeCell ref="B9:B11"/>
    <mergeCell ref="C9:C11"/>
    <mergeCell ref="D9:D11"/>
    <mergeCell ref="E9:I9"/>
    <mergeCell ref="J9:O9"/>
    <mergeCell ref="P9:P11"/>
    <mergeCell ref="E10:E11"/>
    <mergeCell ref="F10:F11"/>
    <mergeCell ref="G10:H10"/>
    <mergeCell ref="I10:I11"/>
    <mergeCell ref="J10:J11"/>
    <mergeCell ref="K10:K11"/>
    <mergeCell ref="L10:L11"/>
    <mergeCell ref="M10:N10"/>
  </mergeCells>
  <conditionalFormatting sqref="Q164:R166">
    <cfRule type="iconSet" priority="6">
      <iconSet iconSet="3Arrows">
        <cfvo type="percent" val="0"/>
        <cfvo type="percent" val="33"/>
        <cfvo type="percent" val="67"/>
      </iconSet>
    </cfRule>
  </conditionalFormatting>
  <conditionalFormatting sqref="Q176:R177">
    <cfRule type="iconSet" priority="5">
      <iconSet iconSet="3Arrows">
        <cfvo type="percent" val="0"/>
        <cfvo type="percent" val="33"/>
        <cfvo type="percent" val="67"/>
      </iconSet>
    </cfRule>
  </conditionalFormatting>
  <conditionalFormatting sqref="Q188:R188 Q187">
    <cfRule type="iconSet" priority="4">
      <iconSet iconSet="3Arrows">
        <cfvo type="percent" val="0"/>
        <cfvo type="percent" val="33"/>
        <cfvo type="percent" val="67"/>
      </iconSet>
    </cfRule>
  </conditionalFormatting>
  <conditionalFormatting sqref="Q182:R183">
    <cfRule type="iconSet" priority="3">
      <iconSet iconSet="3Arrows">
        <cfvo type="percent" val="0"/>
        <cfvo type="percent" val="33"/>
        <cfvo type="percent" val="67"/>
      </iconSet>
    </cfRule>
  </conditionalFormatting>
  <conditionalFormatting sqref="R187">
    <cfRule type="iconSet" priority="2">
      <iconSet iconSet="3Arrows">
        <cfvo type="percent" val="0"/>
        <cfvo type="percent" val="33"/>
        <cfvo type="percent" val="67"/>
      </iconSet>
    </cfRule>
  </conditionalFormatting>
  <conditionalFormatting sqref="Q169:R169">
    <cfRule type="iconSet" priority="7">
      <iconSet iconSet="3Arrows">
        <cfvo type="percent" val="0"/>
        <cfvo type="percent" val="33"/>
        <cfvo type="percent" val="67"/>
      </iconSet>
    </cfRule>
  </conditionalFormatting>
  <conditionalFormatting sqref="R170:R174">
    <cfRule type="iconSet" priority="1">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5" fitToHeight="0" orientation="landscape" r:id="rId1"/>
  <headerFooter alignWithMargins="0">
    <oddFooter>&amp;C&amp;"Times New Roman Cyr,курсив"Сторінка &amp;P з &amp;N</oddFooter>
  </headerFooter>
  <rowBreaks count="3" manualBreakCount="3">
    <brk id="28" max="15" man="1"/>
    <brk id="49" max="15" man="1"/>
    <brk id="70"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2:P213"/>
  <sheetViews>
    <sheetView view="pageBreakPreview" topLeftCell="C1" zoomScale="25" zoomScaleNormal="25" zoomScaleSheetLayoutView="25" zoomScalePageLayoutView="10" workbookViewId="0">
      <pane ySplit="12" topLeftCell="A13" activePane="bottomLeft" state="frozen"/>
      <selection activeCell="AA194" sqref="AA194"/>
      <selection pane="bottomLeft" activeCell="G28" sqref="G28"/>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66.42578125" style="5" customWidth="1"/>
    <col min="6" max="6" width="58.5703125" style="1" customWidth="1"/>
    <col min="7" max="7" width="55.42578125" style="1" customWidth="1"/>
    <col min="8" max="8" width="48.140625" style="1" customWidth="1"/>
    <col min="9" max="9" width="41.85546875" style="1" customWidth="1"/>
    <col min="10" max="10" width="50.5703125" style="5" customWidth="1"/>
    <col min="11" max="11" width="52.5703125" style="5" customWidth="1"/>
    <col min="12" max="12" width="56.140625" style="1" customWidth="1"/>
    <col min="13" max="13" width="54.85546875" style="1" customWidth="1"/>
    <col min="14" max="14" width="45.28515625" style="1" bestFit="1" customWidth="1"/>
    <col min="15" max="15" width="56.140625" style="1" bestFit="1" customWidth="1"/>
    <col min="16" max="16" width="86.28515625" style="5" customWidth="1"/>
    <col min="17" max="16384" width="9.140625" style="436"/>
  </cols>
  <sheetData>
    <row r="2" spans="1:16" ht="45.75" x14ac:dyDescent="0.2">
      <c r="D2" s="438"/>
      <c r="E2" s="439"/>
      <c r="F2" s="437"/>
      <c r="G2" s="439"/>
      <c r="H2" s="439"/>
      <c r="I2" s="439"/>
      <c r="J2" s="439"/>
      <c r="K2" s="439"/>
      <c r="L2" s="439"/>
      <c r="M2" s="439"/>
      <c r="N2" s="470"/>
      <c r="O2" s="458"/>
      <c r="P2" s="458"/>
    </row>
    <row r="3" spans="1:16" ht="45.75" x14ac:dyDescent="0.2">
      <c r="A3" s="438"/>
      <c r="B3" s="438"/>
      <c r="C3" s="438"/>
      <c r="D3" s="438"/>
      <c r="E3" s="439"/>
      <c r="F3" s="437"/>
      <c r="G3" s="439"/>
      <c r="H3" s="439"/>
      <c r="I3" s="439"/>
      <c r="J3" s="439"/>
      <c r="K3" s="439"/>
      <c r="L3" s="439"/>
      <c r="M3" s="439"/>
      <c r="N3" s="470"/>
      <c r="O3" s="471"/>
      <c r="P3" s="471"/>
    </row>
    <row r="4" spans="1:16" ht="40.700000000000003" customHeight="1" x14ac:dyDescent="0.2">
      <c r="A4" s="438"/>
      <c r="B4" s="438"/>
      <c r="C4" s="438"/>
      <c r="D4" s="438"/>
      <c r="E4" s="439"/>
      <c r="F4" s="437"/>
      <c r="G4" s="439"/>
      <c r="H4" s="439"/>
      <c r="I4" s="439"/>
      <c r="J4" s="439"/>
      <c r="K4" s="439"/>
      <c r="L4" s="439"/>
      <c r="M4" s="439"/>
      <c r="N4" s="439"/>
      <c r="O4" s="470"/>
      <c r="P4" s="472"/>
    </row>
    <row r="5" spans="1:16" ht="45.75" hidden="1" x14ac:dyDescent="0.2">
      <c r="A5" s="438"/>
      <c r="B5" s="438"/>
      <c r="C5" s="438"/>
      <c r="D5" s="438"/>
      <c r="E5" s="439"/>
      <c r="F5" s="437"/>
      <c r="G5" s="439"/>
      <c r="H5" s="439"/>
      <c r="I5" s="439"/>
      <c r="J5" s="439"/>
      <c r="K5" s="439"/>
      <c r="L5" s="439"/>
      <c r="M5" s="439"/>
      <c r="N5" s="439"/>
      <c r="O5" s="438"/>
      <c r="P5" s="437"/>
    </row>
    <row r="6" spans="1:16" ht="45" x14ac:dyDescent="0.2">
      <c r="A6" s="474" t="s">
        <v>1001</v>
      </c>
      <c r="B6" s="474"/>
      <c r="C6" s="474"/>
      <c r="D6" s="474"/>
      <c r="E6" s="474"/>
      <c r="F6" s="474"/>
      <c r="G6" s="474"/>
      <c r="H6" s="474"/>
      <c r="I6" s="474"/>
      <c r="J6" s="474"/>
      <c r="K6" s="474"/>
      <c r="L6" s="474"/>
      <c r="M6" s="474"/>
      <c r="N6" s="474"/>
      <c r="O6" s="474"/>
      <c r="P6" s="474"/>
    </row>
    <row r="7" spans="1:16" ht="45" x14ac:dyDescent="0.2">
      <c r="A7" s="474" t="s">
        <v>639</v>
      </c>
      <c r="B7" s="474"/>
      <c r="C7" s="474"/>
      <c r="D7" s="474"/>
      <c r="E7" s="474"/>
      <c r="F7" s="474"/>
      <c r="G7" s="474"/>
      <c r="H7" s="474"/>
      <c r="I7" s="474"/>
      <c r="J7" s="474"/>
      <c r="K7" s="474"/>
      <c r="L7" s="474"/>
      <c r="M7" s="474"/>
      <c r="N7" s="474"/>
      <c r="O7" s="474"/>
      <c r="P7" s="474"/>
    </row>
    <row r="8" spans="1:16" ht="53.45" customHeight="1" x14ac:dyDescent="0.2">
      <c r="A8" s="439"/>
      <c r="B8" s="439"/>
      <c r="C8" s="439"/>
      <c r="D8" s="439"/>
      <c r="E8" s="439"/>
      <c r="F8" s="437"/>
      <c r="G8" s="439"/>
      <c r="H8" s="439"/>
      <c r="I8" s="439"/>
      <c r="J8" s="439"/>
      <c r="K8" s="439"/>
      <c r="L8" s="439"/>
      <c r="M8" s="439"/>
      <c r="N8" s="439"/>
      <c r="O8" s="439"/>
      <c r="P8" s="10" t="s">
        <v>640</v>
      </c>
    </row>
    <row r="9" spans="1:16" ht="62.45" customHeight="1" x14ac:dyDescent="0.2">
      <c r="A9" s="478" t="s">
        <v>29</v>
      </c>
      <c r="B9" s="478" t="s">
        <v>641</v>
      </c>
      <c r="C9" s="478" t="s">
        <v>648</v>
      </c>
      <c r="D9" s="478" t="s">
        <v>642</v>
      </c>
      <c r="E9" s="473" t="s">
        <v>25</v>
      </c>
      <c r="F9" s="473"/>
      <c r="G9" s="473"/>
      <c r="H9" s="473"/>
      <c r="I9" s="473"/>
      <c r="J9" s="483" t="s">
        <v>84</v>
      </c>
      <c r="K9" s="484"/>
      <c r="L9" s="484"/>
      <c r="M9" s="484"/>
      <c r="N9" s="484"/>
      <c r="O9" s="485"/>
      <c r="P9" s="473" t="s">
        <v>24</v>
      </c>
    </row>
    <row r="10" spans="1:16" ht="255" customHeight="1" x14ac:dyDescent="0.2">
      <c r="A10" s="479"/>
      <c r="B10" s="481"/>
      <c r="C10" s="481"/>
      <c r="D10" s="479"/>
      <c r="E10" s="475" t="s">
        <v>636</v>
      </c>
      <c r="F10" s="475" t="s">
        <v>85</v>
      </c>
      <c r="G10" s="475" t="s">
        <v>26</v>
      </c>
      <c r="H10" s="475"/>
      <c r="I10" s="475" t="s">
        <v>87</v>
      </c>
      <c r="J10" s="475" t="s">
        <v>636</v>
      </c>
      <c r="K10" s="475" t="s">
        <v>637</v>
      </c>
      <c r="L10" s="475" t="s">
        <v>85</v>
      </c>
      <c r="M10" s="475" t="s">
        <v>26</v>
      </c>
      <c r="N10" s="475"/>
      <c r="O10" s="475" t="s">
        <v>87</v>
      </c>
      <c r="P10" s="473"/>
    </row>
    <row r="11" spans="1:16" ht="135" x14ac:dyDescent="0.2">
      <c r="A11" s="480"/>
      <c r="B11" s="480"/>
      <c r="C11" s="480"/>
      <c r="D11" s="480"/>
      <c r="E11" s="475"/>
      <c r="F11" s="475"/>
      <c r="G11" s="440" t="s">
        <v>86</v>
      </c>
      <c r="H11" s="440" t="s">
        <v>28</v>
      </c>
      <c r="I11" s="475"/>
      <c r="J11" s="475"/>
      <c r="K11" s="475"/>
      <c r="L11" s="475"/>
      <c r="M11" s="440" t="s">
        <v>86</v>
      </c>
      <c r="N11" s="440" t="s">
        <v>28</v>
      </c>
      <c r="O11" s="475"/>
      <c r="P11" s="473"/>
    </row>
    <row r="12" spans="1:16" s="2" customFormat="1" ht="111" customHeight="1" x14ac:dyDescent="0.2">
      <c r="A12" s="11" t="s">
        <v>4</v>
      </c>
      <c r="B12" s="11" t="s">
        <v>5</v>
      </c>
      <c r="C12" s="11" t="s">
        <v>27</v>
      </c>
      <c r="D12" s="11" t="s">
        <v>7</v>
      </c>
      <c r="E12" s="11" t="s">
        <v>651</v>
      </c>
      <c r="F12" s="11" t="s">
        <v>652</v>
      </c>
      <c r="G12" s="11" t="s">
        <v>653</v>
      </c>
      <c r="H12" s="11" t="s">
        <v>654</v>
      </c>
      <c r="I12" s="11" t="s">
        <v>655</v>
      </c>
      <c r="J12" s="11" t="s">
        <v>656</v>
      </c>
      <c r="K12" s="11" t="s">
        <v>657</v>
      </c>
      <c r="L12" s="11" t="s">
        <v>658</v>
      </c>
      <c r="M12" s="11" t="s">
        <v>659</v>
      </c>
      <c r="N12" s="11" t="s">
        <v>660</v>
      </c>
      <c r="O12" s="11" t="s">
        <v>661</v>
      </c>
      <c r="P12" s="11" t="s">
        <v>662</v>
      </c>
    </row>
    <row r="13" spans="1:16" s="2" customFormat="1" ht="135" x14ac:dyDescent="0.2">
      <c r="A13" s="327" t="s">
        <v>228</v>
      </c>
      <c r="B13" s="327"/>
      <c r="C13" s="327"/>
      <c r="D13" s="328" t="s">
        <v>230</v>
      </c>
      <c r="E13" s="329">
        <f>E14</f>
        <v>988966</v>
      </c>
      <c r="F13" s="329">
        <f t="shared" ref="F13:N13" si="0">F14</f>
        <v>988966</v>
      </c>
      <c r="G13" s="329">
        <f t="shared" si="0"/>
        <v>1245600</v>
      </c>
      <c r="H13" s="329">
        <f t="shared" si="0"/>
        <v>-459960</v>
      </c>
      <c r="I13" s="329">
        <f t="shared" si="0"/>
        <v>0</v>
      </c>
      <c r="J13" s="329">
        <f t="shared" si="0"/>
        <v>0</v>
      </c>
      <c r="K13" s="329">
        <f t="shared" si="0"/>
        <v>0</v>
      </c>
      <c r="L13" s="329">
        <f t="shared" si="0"/>
        <v>0</v>
      </c>
      <c r="M13" s="329">
        <f t="shared" si="0"/>
        <v>0</v>
      </c>
      <c r="N13" s="329">
        <f t="shared" si="0"/>
        <v>0</v>
      </c>
      <c r="O13" s="329">
        <f>O14</f>
        <v>0</v>
      </c>
      <c r="P13" s="329">
        <f t="shared" ref="P13" si="1">P14</f>
        <v>988966</v>
      </c>
    </row>
    <row r="14" spans="1:16" s="2" customFormat="1" ht="135" x14ac:dyDescent="0.2">
      <c r="A14" s="324" t="s">
        <v>229</v>
      </c>
      <c r="B14" s="324"/>
      <c r="C14" s="324"/>
      <c r="D14" s="325" t="s">
        <v>231</v>
      </c>
      <c r="E14" s="326">
        <f>SUM(E15:E24)</f>
        <v>988966</v>
      </c>
      <c r="F14" s="326">
        <f t="shared" ref="F14:I14" si="2">SUM(F15:F24)</f>
        <v>988966</v>
      </c>
      <c r="G14" s="326">
        <f t="shared" si="2"/>
        <v>1245600</v>
      </c>
      <c r="H14" s="326">
        <f t="shared" si="2"/>
        <v>-459960</v>
      </c>
      <c r="I14" s="326">
        <f t="shared" si="2"/>
        <v>0</v>
      </c>
      <c r="J14" s="326">
        <f t="shared" ref="J14" si="3">L14+O14</f>
        <v>0</v>
      </c>
      <c r="K14" s="326">
        <f t="shared" ref="K14:O14" si="4">SUM(K15:K24)</f>
        <v>0</v>
      </c>
      <c r="L14" s="326">
        <f t="shared" si="4"/>
        <v>0</v>
      </c>
      <c r="M14" s="326">
        <f t="shared" si="4"/>
        <v>0</v>
      </c>
      <c r="N14" s="326">
        <f t="shared" si="4"/>
        <v>0</v>
      </c>
      <c r="O14" s="326">
        <f t="shared" si="4"/>
        <v>0</v>
      </c>
      <c r="P14" s="326">
        <f>E14+J14</f>
        <v>988966</v>
      </c>
    </row>
    <row r="15" spans="1:16" ht="320.25" x14ac:dyDescent="0.2">
      <c r="A15" s="442" t="s">
        <v>331</v>
      </c>
      <c r="B15" s="442" t="s">
        <v>332</v>
      </c>
      <c r="C15" s="442" t="s">
        <v>333</v>
      </c>
      <c r="D15" s="442" t="s">
        <v>330</v>
      </c>
      <c r="E15" s="311">
        <f>'d3'!E15-'d3-10'!E15</f>
        <v>622916</v>
      </c>
      <c r="F15" s="311">
        <f>'d3'!F15-'d3-10'!F15</f>
        <v>622916</v>
      </c>
      <c r="G15" s="311">
        <f>'d3'!G15-'d3-10'!G15</f>
        <v>1245600</v>
      </c>
      <c r="H15" s="311">
        <f>'d3'!H15-'d3-10'!H15</f>
        <v>-459960</v>
      </c>
      <c r="I15" s="311">
        <f>'d3'!I15-'d3-10'!I15</f>
        <v>0</v>
      </c>
      <c r="J15" s="311">
        <f>'d3'!J15-'d3-10'!J15</f>
        <v>0</v>
      </c>
      <c r="K15" s="311">
        <f>'d3'!K15-'d3-10'!K15</f>
        <v>0</v>
      </c>
      <c r="L15" s="311">
        <f>'d3'!L15-'d3-10'!L15</f>
        <v>0</v>
      </c>
      <c r="M15" s="311">
        <f>'d3'!M15-'d3-10'!M15</f>
        <v>0</v>
      </c>
      <c r="N15" s="311">
        <f>'d3'!N15-'d3-10'!N15</f>
        <v>0</v>
      </c>
      <c r="O15" s="311">
        <f>'d3'!O15-'d3-10'!O15</f>
        <v>0</v>
      </c>
      <c r="P15" s="311">
        <f>'d3'!P15-'d3-10'!P15</f>
        <v>622916</v>
      </c>
    </row>
    <row r="16" spans="1:16" ht="91.5" x14ac:dyDescent="0.2">
      <c r="A16" s="442" t="s">
        <v>347</v>
      </c>
      <c r="B16" s="442" t="s">
        <v>71</v>
      </c>
      <c r="C16" s="442" t="s">
        <v>70</v>
      </c>
      <c r="D16" s="442" t="s">
        <v>348</v>
      </c>
      <c r="E16" s="311">
        <f>'d3'!E16-'d3-10'!E16</f>
        <v>0</v>
      </c>
      <c r="F16" s="311">
        <f>'d3'!F16-'d3-10'!F16</f>
        <v>0</v>
      </c>
      <c r="G16" s="311">
        <f>'d3'!G16-'d3-10'!G16</f>
        <v>0</v>
      </c>
      <c r="H16" s="311">
        <f>'d3'!H16-'d3-10'!H16</f>
        <v>0</v>
      </c>
      <c r="I16" s="311">
        <f>'d3'!I16-'d3-10'!I16</f>
        <v>0</v>
      </c>
      <c r="J16" s="311">
        <f>'d3'!J16-'d3-10'!J16</f>
        <v>0</v>
      </c>
      <c r="K16" s="311">
        <f>'d3'!K16-'d3-10'!K16</f>
        <v>0</v>
      </c>
      <c r="L16" s="311">
        <f>'d3'!L16-'d3-10'!L16</f>
        <v>0</v>
      </c>
      <c r="M16" s="311">
        <f>'d3'!M16-'d3-10'!M16</f>
        <v>0</v>
      </c>
      <c r="N16" s="311">
        <f>'d3'!N16-'d3-10'!N16</f>
        <v>0</v>
      </c>
      <c r="O16" s="311">
        <f>'d3'!O16-'d3-10'!O16</f>
        <v>0</v>
      </c>
      <c r="P16" s="311">
        <f>'d3'!P16-'d3-10'!P16</f>
        <v>0</v>
      </c>
    </row>
    <row r="17" spans="1:16" ht="91.5" x14ac:dyDescent="0.2">
      <c r="A17" s="442" t="s">
        <v>337</v>
      </c>
      <c r="B17" s="442" t="s">
        <v>338</v>
      </c>
      <c r="C17" s="442" t="s">
        <v>339</v>
      </c>
      <c r="D17" s="442" t="s">
        <v>336</v>
      </c>
      <c r="E17" s="311">
        <f>'d3'!E17-'d3-10'!E17</f>
        <v>0</v>
      </c>
      <c r="F17" s="311">
        <f>'d3'!F17-'d3-10'!F17</f>
        <v>0</v>
      </c>
      <c r="G17" s="311">
        <f>'d3'!G17-'d3-10'!G17</f>
        <v>0</v>
      </c>
      <c r="H17" s="311">
        <f>'d3'!H17-'d3-10'!H17</f>
        <v>0</v>
      </c>
      <c r="I17" s="311">
        <f>'d3'!I17-'d3-10'!I17</f>
        <v>0</v>
      </c>
      <c r="J17" s="311">
        <f>'d3'!J17-'d3-10'!J17</f>
        <v>0</v>
      </c>
      <c r="K17" s="311">
        <f>'d3'!K17-'d3-10'!K17</f>
        <v>0</v>
      </c>
      <c r="L17" s="311">
        <f>'d3'!L17-'d3-10'!L17</f>
        <v>0</v>
      </c>
      <c r="M17" s="311">
        <f>'d3'!M17-'d3-10'!M17</f>
        <v>0</v>
      </c>
      <c r="N17" s="311">
        <f>'d3'!N17-'d3-10'!N17</f>
        <v>0</v>
      </c>
      <c r="O17" s="311">
        <f>'d3'!O17-'d3-10'!O17</f>
        <v>0</v>
      </c>
      <c r="P17" s="311">
        <f>'d3'!P17-'d3-10'!P17</f>
        <v>0</v>
      </c>
    </row>
    <row r="18" spans="1:16" ht="137.25" x14ac:dyDescent="0.2">
      <c r="A18" s="442" t="s">
        <v>439</v>
      </c>
      <c r="B18" s="442" t="s">
        <v>440</v>
      </c>
      <c r="C18" s="442" t="s">
        <v>250</v>
      </c>
      <c r="D18" s="441" t="s">
        <v>438</v>
      </c>
      <c r="E18" s="311">
        <f>'d3'!E18-'d3-10'!E18</f>
        <v>-3950</v>
      </c>
      <c r="F18" s="311">
        <f>'d3'!F18-'d3-10'!F18</f>
        <v>-3950</v>
      </c>
      <c r="G18" s="311">
        <f>'d3'!G18-'d3-10'!G18</f>
        <v>0</v>
      </c>
      <c r="H18" s="311">
        <f>'d3'!H18-'d3-10'!H18</f>
        <v>0</v>
      </c>
      <c r="I18" s="311">
        <f>'d3'!I18-'d3-10'!I18</f>
        <v>0</v>
      </c>
      <c r="J18" s="311">
        <f>'d3'!J18-'d3-10'!J18</f>
        <v>0</v>
      </c>
      <c r="K18" s="311">
        <f>'d3'!K18-'d3-10'!K18</f>
        <v>0</v>
      </c>
      <c r="L18" s="311">
        <f>'d3'!L18-'d3-10'!L18</f>
        <v>0</v>
      </c>
      <c r="M18" s="311">
        <f>'d3'!M18-'d3-10'!M18</f>
        <v>0</v>
      </c>
      <c r="N18" s="311">
        <f>'d3'!N18-'d3-10'!N18</f>
        <v>0</v>
      </c>
      <c r="O18" s="311">
        <f>'d3'!O18-'d3-10'!O18</f>
        <v>0</v>
      </c>
      <c r="P18" s="311">
        <f>'d3'!P18-'d3-10'!P18</f>
        <v>-3950</v>
      </c>
    </row>
    <row r="19" spans="1:16" s="118" customFormat="1" ht="409.5" x14ac:dyDescent="0.2">
      <c r="A19" s="476" t="s">
        <v>526</v>
      </c>
      <c r="B19" s="476" t="s">
        <v>525</v>
      </c>
      <c r="C19" s="476" t="s">
        <v>250</v>
      </c>
      <c r="D19" s="267" t="s">
        <v>536</v>
      </c>
      <c r="E19" s="491">
        <f>'d3'!E19-'d3-10'!E19</f>
        <v>0</v>
      </c>
      <c r="F19" s="491">
        <f>'d3'!F19-'d3-10'!F19</f>
        <v>0</v>
      </c>
      <c r="G19" s="491">
        <f>'d3'!G19-'d3-10'!G19</f>
        <v>0</v>
      </c>
      <c r="H19" s="491">
        <f>'d3'!H19-'d3-10'!H19</f>
        <v>0</v>
      </c>
      <c r="I19" s="491">
        <f>'d3'!I19-'d3-10'!I19</f>
        <v>0</v>
      </c>
      <c r="J19" s="491">
        <f>'d3'!J19-'d3-10'!J19</f>
        <v>0</v>
      </c>
      <c r="K19" s="491">
        <f>'d3'!K19-'d3-10'!K19</f>
        <v>0</v>
      </c>
      <c r="L19" s="491">
        <f>'d3'!L19-'d3-10'!L19</f>
        <v>0</v>
      </c>
      <c r="M19" s="491">
        <f>'d3'!M19-'d3-10'!M19</f>
        <v>0</v>
      </c>
      <c r="N19" s="491">
        <f>'d3'!N19-'d3-10'!N19</f>
        <v>0</v>
      </c>
      <c r="O19" s="491">
        <f>'d3'!O19-'d3-10'!O19</f>
        <v>0</v>
      </c>
      <c r="P19" s="491">
        <f>'d3'!P19-'d3-10'!P19</f>
        <v>0</v>
      </c>
    </row>
    <row r="20" spans="1:16" s="118" customFormat="1" ht="137.25" x14ac:dyDescent="0.2">
      <c r="A20" s="477"/>
      <c r="B20" s="477"/>
      <c r="C20" s="477"/>
      <c r="D20" s="268" t="s">
        <v>537</v>
      </c>
      <c r="E20" s="469"/>
      <c r="F20" s="469"/>
      <c r="G20" s="469"/>
      <c r="H20" s="469"/>
      <c r="I20" s="469"/>
      <c r="J20" s="469"/>
      <c r="K20" s="469"/>
      <c r="L20" s="469"/>
      <c r="M20" s="469"/>
      <c r="N20" s="469"/>
      <c r="O20" s="469"/>
      <c r="P20" s="469"/>
    </row>
    <row r="21" spans="1:16" ht="91.5" x14ac:dyDescent="0.2">
      <c r="A21" s="442" t="s">
        <v>340</v>
      </c>
      <c r="B21" s="442" t="s">
        <v>341</v>
      </c>
      <c r="C21" s="442" t="s">
        <v>342</v>
      </c>
      <c r="D21" s="441" t="s">
        <v>343</v>
      </c>
      <c r="E21" s="311">
        <f>'d3'!E21-'d3-10'!E21</f>
        <v>0</v>
      </c>
      <c r="F21" s="311">
        <f>'d3'!F21-'d3-10'!F21</f>
        <v>0</v>
      </c>
      <c r="G21" s="311">
        <f>'d3'!G21-'d3-10'!G21</f>
        <v>0</v>
      </c>
      <c r="H21" s="311">
        <f>'d3'!H21-'d3-10'!H21</f>
        <v>0</v>
      </c>
      <c r="I21" s="311">
        <f>'d3'!I21-'d3-10'!I21</f>
        <v>0</v>
      </c>
      <c r="J21" s="311">
        <f>'d3'!J21-'d3-10'!J21</f>
        <v>0</v>
      </c>
      <c r="K21" s="311">
        <f>'d3'!K21-'d3-10'!K21</f>
        <v>0</v>
      </c>
      <c r="L21" s="311">
        <f>'d3'!L21-'d3-10'!L21</f>
        <v>0</v>
      </c>
      <c r="M21" s="311">
        <f>'d3'!M21-'d3-10'!M21</f>
        <v>0</v>
      </c>
      <c r="N21" s="311">
        <f>'d3'!N21-'d3-10'!N21</f>
        <v>0</v>
      </c>
      <c r="O21" s="311">
        <f>'d3'!O21-'d3-10'!O21</f>
        <v>0</v>
      </c>
      <c r="P21" s="311">
        <f>'d3'!P21-'d3-10'!P21</f>
        <v>0</v>
      </c>
    </row>
    <row r="22" spans="1:16" ht="228.75" x14ac:dyDescent="0.2">
      <c r="A22" s="442" t="s">
        <v>344</v>
      </c>
      <c r="B22" s="442" t="s">
        <v>345</v>
      </c>
      <c r="C22" s="442" t="s">
        <v>71</v>
      </c>
      <c r="D22" s="442" t="s">
        <v>346</v>
      </c>
      <c r="E22" s="311">
        <f>'d3'!E22-'d3-10'!E22</f>
        <v>0</v>
      </c>
      <c r="F22" s="311">
        <f>'d3'!F22-'d3-10'!F22</f>
        <v>0</v>
      </c>
      <c r="G22" s="311">
        <f>'d3'!G22-'d3-10'!G22</f>
        <v>0</v>
      </c>
      <c r="H22" s="311">
        <f>'d3'!H22-'d3-10'!H22</f>
        <v>0</v>
      </c>
      <c r="I22" s="311">
        <f>'d3'!I22-'d3-10'!I22</f>
        <v>0</v>
      </c>
      <c r="J22" s="311">
        <f>'d3'!J22-'d3-10'!J22</f>
        <v>0</v>
      </c>
      <c r="K22" s="311">
        <f>'d3'!K22-'d3-10'!K22</f>
        <v>0</v>
      </c>
      <c r="L22" s="311">
        <f>'d3'!L22-'d3-10'!L22</f>
        <v>0</v>
      </c>
      <c r="M22" s="311">
        <f>'d3'!M22-'d3-10'!M22</f>
        <v>0</v>
      </c>
      <c r="N22" s="311">
        <f>'d3'!N22-'d3-10'!N22</f>
        <v>0</v>
      </c>
      <c r="O22" s="311">
        <f>'d3'!O22-'d3-10'!O22</f>
        <v>0</v>
      </c>
      <c r="P22" s="311">
        <f>'d3'!P22-'d3-10'!P22</f>
        <v>0</v>
      </c>
    </row>
    <row r="23" spans="1:16" ht="91.5" x14ac:dyDescent="0.2">
      <c r="A23" s="442" t="s">
        <v>840</v>
      </c>
      <c r="B23" s="442" t="s">
        <v>587</v>
      </c>
      <c r="C23" s="442" t="s">
        <v>71</v>
      </c>
      <c r="D23" s="442" t="s">
        <v>588</v>
      </c>
      <c r="E23" s="311">
        <f>'d3'!E23-'d3-10'!E23</f>
        <v>0</v>
      </c>
      <c r="F23" s="311">
        <f>'d3'!F23-'d3-10'!F23</f>
        <v>0</v>
      </c>
      <c r="G23" s="311">
        <f>'d3'!G23-'d3-10'!G23</f>
        <v>0</v>
      </c>
      <c r="H23" s="311">
        <f>'d3'!H23-'d3-10'!H23</f>
        <v>0</v>
      </c>
      <c r="I23" s="311">
        <f>'d3'!I23-'d3-10'!I23</f>
        <v>0</v>
      </c>
      <c r="J23" s="311">
        <f>'d3'!J23-'d3-10'!J23</f>
        <v>0</v>
      </c>
      <c r="K23" s="311">
        <f>'d3'!K23-'d3-10'!K23</f>
        <v>0</v>
      </c>
      <c r="L23" s="311">
        <f>'d3'!L23-'d3-10'!L23</f>
        <v>0</v>
      </c>
      <c r="M23" s="311">
        <f>'d3'!M23-'d3-10'!M23</f>
        <v>0</v>
      </c>
      <c r="N23" s="311">
        <f>'d3'!N23-'d3-10'!N23</f>
        <v>0</v>
      </c>
      <c r="O23" s="311">
        <f>'d3'!O23-'d3-10'!O23</f>
        <v>0</v>
      </c>
      <c r="P23" s="311">
        <f>'d3'!P23-'d3-10'!P23</f>
        <v>0</v>
      </c>
    </row>
    <row r="24" spans="1:16" ht="183" customHeight="1" x14ac:dyDescent="0.2">
      <c r="A24" s="442" t="s">
        <v>842</v>
      </c>
      <c r="B24" s="442" t="s">
        <v>843</v>
      </c>
      <c r="C24" s="442" t="s">
        <v>71</v>
      </c>
      <c r="D24" s="442" t="s">
        <v>841</v>
      </c>
      <c r="E24" s="311">
        <f>'d3'!E24-'d3-10'!E24</f>
        <v>370000</v>
      </c>
      <c r="F24" s="311">
        <f>'d3'!F24-'d3-10'!F24</f>
        <v>370000</v>
      </c>
      <c r="G24" s="311">
        <f>'d3'!G24-'d3-10'!G24</f>
        <v>0</v>
      </c>
      <c r="H24" s="311">
        <f>'d3'!H24-'d3-10'!H24</f>
        <v>0</v>
      </c>
      <c r="I24" s="311">
        <f>'d3'!I24-'d3-10'!I24</f>
        <v>0</v>
      </c>
      <c r="J24" s="311">
        <f>'d3'!J24-'d3-10'!J24</f>
        <v>0</v>
      </c>
      <c r="K24" s="311">
        <f>'d3'!K24-'d3-10'!K24</f>
        <v>0</v>
      </c>
      <c r="L24" s="311">
        <f>'d3'!L24-'d3-10'!L24</f>
        <v>0</v>
      </c>
      <c r="M24" s="311">
        <f>'d3'!M24-'d3-10'!M24</f>
        <v>0</v>
      </c>
      <c r="N24" s="311">
        <f>'d3'!N24-'d3-10'!N24</f>
        <v>0</v>
      </c>
      <c r="O24" s="311">
        <f>'d3'!O24-'d3-10'!O24</f>
        <v>0</v>
      </c>
      <c r="P24" s="311">
        <f>'d3'!P24-'d3-10'!P24</f>
        <v>370000</v>
      </c>
    </row>
    <row r="25" spans="1:16" ht="135" x14ac:dyDescent="0.2">
      <c r="A25" s="327" t="s">
        <v>232</v>
      </c>
      <c r="B25" s="327"/>
      <c r="C25" s="327"/>
      <c r="D25" s="328" t="s">
        <v>0</v>
      </c>
      <c r="E25" s="329">
        <f>E26</f>
        <v>2014218</v>
      </c>
      <c r="F25" s="329">
        <f t="shared" ref="F25:G25" si="5">F26</f>
        <v>2014218</v>
      </c>
      <c r="G25" s="329">
        <f t="shared" si="5"/>
        <v>3738000</v>
      </c>
      <c r="H25" s="329">
        <f>H26</f>
        <v>-5412935</v>
      </c>
      <c r="I25" s="329">
        <f t="shared" ref="I25" si="6">I26</f>
        <v>0</v>
      </c>
      <c r="J25" s="329">
        <f>J26</f>
        <v>-798039</v>
      </c>
      <c r="K25" s="329">
        <f>K26</f>
        <v>-798039</v>
      </c>
      <c r="L25" s="329">
        <f>L26</f>
        <v>0</v>
      </c>
      <c r="M25" s="329">
        <f t="shared" ref="M25" si="7">M26</f>
        <v>0</v>
      </c>
      <c r="N25" s="329">
        <f>N26</f>
        <v>2500</v>
      </c>
      <c r="O25" s="329">
        <f>O26</f>
        <v>-798039</v>
      </c>
      <c r="P25" s="329">
        <f t="shared" ref="P25" si="8">P26</f>
        <v>1216179</v>
      </c>
    </row>
    <row r="26" spans="1:16" ht="135" x14ac:dyDescent="0.2">
      <c r="A26" s="324" t="s">
        <v>233</v>
      </c>
      <c r="B26" s="324"/>
      <c r="C26" s="324"/>
      <c r="D26" s="325" t="s">
        <v>1</v>
      </c>
      <c r="E26" s="326">
        <f>SUM(E27:E38)</f>
        <v>2014218</v>
      </c>
      <c r="F26" s="326">
        <f>SUM(F27:F38)</f>
        <v>2014218</v>
      </c>
      <c r="G26" s="326">
        <f>SUM(G27:G38)</f>
        <v>3738000</v>
      </c>
      <c r="H26" s="326">
        <f>SUM(H27:H38)</f>
        <v>-5412935</v>
      </c>
      <c r="I26" s="326">
        <f>SUM(I27:I38)</f>
        <v>0</v>
      </c>
      <c r="J26" s="326">
        <f>L26+O26</f>
        <v>-798039</v>
      </c>
      <c r="K26" s="326">
        <f>SUM(K27:K38)</f>
        <v>-798039</v>
      </c>
      <c r="L26" s="326">
        <f>SUM(L27:L38)</f>
        <v>0</v>
      </c>
      <c r="M26" s="326">
        <f>SUM(M27:M38)</f>
        <v>0</v>
      </c>
      <c r="N26" s="326">
        <f>SUM(N27:N38)</f>
        <v>2500</v>
      </c>
      <c r="O26" s="326">
        <f>SUM(O27:O38)</f>
        <v>-798039</v>
      </c>
      <c r="P26" s="326">
        <f t="shared" ref="P26" si="9">E26+J26</f>
        <v>1216179</v>
      </c>
    </row>
    <row r="27" spans="1:16" ht="46.5" x14ac:dyDescent="0.2">
      <c r="A27" s="442" t="s">
        <v>288</v>
      </c>
      <c r="B27" s="442" t="s">
        <v>289</v>
      </c>
      <c r="C27" s="442" t="s">
        <v>291</v>
      </c>
      <c r="D27" s="442" t="s">
        <v>292</v>
      </c>
      <c r="E27" s="311">
        <f>'d3'!E27-'d3-10'!E27</f>
        <v>-1693619</v>
      </c>
      <c r="F27" s="311">
        <f>'d3'!F27-'d3-10'!F27</f>
        <v>-1693619</v>
      </c>
      <c r="G27" s="311">
        <f>'d3'!G27-'d3-10'!G27</f>
        <v>-450000</v>
      </c>
      <c r="H27" s="311">
        <f>'d3'!H27-'d3-10'!H27</f>
        <v>-1528000</v>
      </c>
      <c r="I27" s="311">
        <f>'d3'!I27-'d3-10'!I27</f>
        <v>0</v>
      </c>
      <c r="J27" s="311">
        <f>'d3'!J27-'d3-10'!J27</f>
        <v>6750</v>
      </c>
      <c r="K27" s="311">
        <f>'d3'!K27-'d3-10'!K27</f>
        <v>6750</v>
      </c>
      <c r="L27" s="311">
        <f>'d3'!L27-'d3-10'!L27</f>
        <v>0</v>
      </c>
      <c r="M27" s="311">
        <f>'d3'!M27-'d3-10'!M27</f>
        <v>0</v>
      </c>
      <c r="N27" s="311">
        <f>'d3'!N27-'d3-10'!N27</f>
        <v>0</v>
      </c>
      <c r="O27" s="311">
        <f>'d3'!O27-'d3-10'!O27</f>
        <v>6750</v>
      </c>
      <c r="P27" s="311">
        <f>'d3'!P27-'d3-10'!P27</f>
        <v>-1686869</v>
      </c>
    </row>
    <row r="28" spans="1:16" ht="320.25" x14ac:dyDescent="0.2">
      <c r="A28" s="442" t="s">
        <v>294</v>
      </c>
      <c r="B28" s="442" t="s">
        <v>290</v>
      </c>
      <c r="C28" s="442" t="s">
        <v>295</v>
      </c>
      <c r="D28" s="442" t="s">
        <v>612</v>
      </c>
      <c r="E28" s="311">
        <f>'d3'!E28-'d3-10'!E28</f>
        <v>6183014</v>
      </c>
      <c r="F28" s="311">
        <f>'d3'!F28-'d3-10'!F28</f>
        <v>6183014</v>
      </c>
      <c r="G28" s="311">
        <f>'d3'!G28-'d3-10'!G28</f>
        <v>4188000</v>
      </c>
      <c r="H28" s="311">
        <f>'d3'!H28-'d3-10'!H28</f>
        <v>-2000000</v>
      </c>
      <c r="I28" s="311">
        <f>'d3'!I28-'d3-10'!I28</f>
        <v>0</v>
      </c>
      <c r="J28" s="311">
        <f>'d3'!J28-'d3-10'!J28</f>
        <v>-2442545</v>
      </c>
      <c r="K28" s="311">
        <f>'d3'!K28-'d3-10'!K28</f>
        <v>-2442545</v>
      </c>
      <c r="L28" s="311">
        <f>'d3'!L28-'d3-10'!L28</f>
        <v>0</v>
      </c>
      <c r="M28" s="311">
        <f>'d3'!M28-'d3-10'!M28</f>
        <v>0</v>
      </c>
      <c r="N28" s="311">
        <f>'d3'!N28-'d3-10'!N28</f>
        <v>2500</v>
      </c>
      <c r="O28" s="311">
        <f>'d3'!O28-'d3-10'!O28</f>
        <v>-2442545</v>
      </c>
      <c r="P28" s="311">
        <f>'d3'!P28-'d3-10'!P28</f>
        <v>3740469</v>
      </c>
    </row>
    <row r="29" spans="1:16" ht="320.25" x14ac:dyDescent="0.2">
      <c r="A29" s="442" t="s">
        <v>298</v>
      </c>
      <c r="B29" s="442" t="s">
        <v>297</v>
      </c>
      <c r="C29" s="442" t="s">
        <v>299</v>
      </c>
      <c r="D29" s="442" t="s">
        <v>32</v>
      </c>
      <c r="E29" s="311">
        <f>'d3'!E29-'d3-10'!E29</f>
        <v>-348000</v>
      </c>
      <c r="F29" s="311">
        <f>'d3'!F29-'d3-10'!F29</f>
        <v>-348000</v>
      </c>
      <c r="G29" s="311">
        <f>'d3'!G29-'d3-10'!G29</f>
        <v>0</v>
      </c>
      <c r="H29" s="311">
        <f>'d3'!H29-'d3-10'!H29</f>
        <v>-300000</v>
      </c>
      <c r="I29" s="311">
        <f>'d3'!I29-'d3-10'!I29</f>
        <v>0</v>
      </c>
      <c r="J29" s="311">
        <f>'d3'!J29-'d3-10'!J29</f>
        <v>0</v>
      </c>
      <c r="K29" s="311">
        <f>'d3'!K29-'d3-10'!K29</f>
        <v>0</v>
      </c>
      <c r="L29" s="311">
        <f>'d3'!L29-'d3-10'!L29</f>
        <v>0</v>
      </c>
      <c r="M29" s="311">
        <f>'d3'!M29-'d3-10'!M29</f>
        <v>0</v>
      </c>
      <c r="N29" s="311">
        <f>'d3'!N29-'d3-10'!N29</f>
        <v>0</v>
      </c>
      <c r="O29" s="311">
        <f>'d3'!O29-'d3-10'!O29</f>
        <v>0</v>
      </c>
      <c r="P29" s="311">
        <f>'d3'!P29-'d3-10'!P29</f>
        <v>-348000</v>
      </c>
    </row>
    <row r="30" spans="1:16" ht="183" x14ac:dyDescent="0.2">
      <c r="A30" s="442" t="s">
        <v>300</v>
      </c>
      <c r="B30" s="442" t="s">
        <v>281</v>
      </c>
      <c r="C30" s="442" t="s">
        <v>269</v>
      </c>
      <c r="D30" s="442" t="s">
        <v>33</v>
      </c>
      <c r="E30" s="311">
        <f>'d3'!E30-'d3-10'!E30</f>
        <v>0</v>
      </c>
      <c r="F30" s="311">
        <f>'d3'!F30-'d3-10'!F30</f>
        <v>0</v>
      </c>
      <c r="G30" s="311">
        <f>'d3'!G30-'d3-10'!G30</f>
        <v>0</v>
      </c>
      <c r="H30" s="311">
        <f>'d3'!H30-'d3-10'!H30</f>
        <v>-24498</v>
      </c>
      <c r="I30" s="311">
        <f>'d3'!I30-'d3-10'!I30</f>
        <v>0</v>
      </c>
      <c r="J30" s="311">
        <f>'d3'!J30-'d3-10'!J30</f>
        <v>0</v>
      </c>
      <c r="K30" s="311">
        <f>'d3'!K30-'d3-10'!K30</f>
        <v>0</v>
      </c>
      <c r="L30" s="311">
        <f>'d3'!L30-'d3-10'!L30</f>
        <v>0</v>
      </c>
      <c r="M30" s="311">
        <f>'d3'!M30-'d3-10'!M30</f>
        <v>0</v>
      </c>
      <c r="N30" s="311">
        <f>'d3'!N30-'d3-10'!N30</f>
        <v>0</v>
      </c>
      <c r="O30" s="311">
        <f>'d3'!O30-'d3-10'!O30</f>
        <v>0</v>
      </c>
      <c r="P30" s="311">
        <f>'d3'!P30-'d3-10'!P30</f>
        <v>0</v>
      </c>
    </row>
    <row r="31" spans="1:16" ht="137.25" x14ac:dyDescent="0.2">
      <c r="A31" s="442" t="s">
        <v>301</v>
      </c>
      <c r="B31" s="442" t="s">
        <v>302</v>
      </c>
      <c r="C31" s="442" t="s">
        <v>303</v>
      </c>
      <c r="D31" s="442" t="s">
        <v>304</v>
      </c>
      <c r="E31" s="311">
        <f>'d3'!E31-'d3-10'!E31</f>
        <v>-2152177</v>
      </c>
      <c r="F31" s="311">
        <f>'d3'!F31-'d3-10'!F31</f>
        <v>-2152177</v>
      </c>
      <c r="G31" s="311">
        <f>'d3'!G31-'d3-10'!G31</f>
        <v>0</v>
      </c>
      <c r="H31" s="311">
        <f>'d3'!H31-'d3-10'!H31</f>
        <v>-1560437</v>
      </c>
      <c r="I31" s="311">
        <f>'d3'!I31-'d3-10'!I31</f>
        <v>0</v>
      </c>
      <c r="J31" s="311">
        <f>'d3'!J31-'d3-10'!J31</f>
        <v>138700</v>
      </c>
      <c r="K31" s="311">
        <f>'d3'!K31-'d3-10'!K31</f>
        <v>138700</v>
      </c>
      <c r="L31" s="311">
        <f>'d3'!L31-'d3-10'!L31</f>
        <v>0</v>
      </c>
      <c r="M31" s="311">
        <f>'d3'!M31-'d3-10'!M31</f>
        <v>0</v>
      </c>
      <c r="N31" s="311">
        <f>'d3'!N31-'d3-10'!N31</f>
        <v>0</v>
      </c>
      <c r="O31" s="311">
        <f>'d3'!O31-'d3-10'!O31</f>
        <v>138700</v>
      </c>
      <c r="P31" s="311">
        <f>'d3'!P31-'d3-10'!P31</f>
        <v>-2013477</v>
      </c>
    </row>
    <row r="32" spans="1:16" ht="91.5" x14ac:dyDescent="0.2">
      <c r="A32" s="442" t="s">
        <v>306</v>
      </c>
      <c r="B32" s="442" t="s">
        <v>307</v>
      </c>
      <c r="C32" s="442" t="s">
        <v>308</v>
      </c>
      <c r="D32" s="442" t="s">
        <v>305</v>
      </c>
      <c r="E32" s="311">
        <f>'d3'!E32-'d3-10'!E32</f>
        <v>0</v>
      </c>
      <c r="F32" s="311">
        <f>'d3'!F32-'d3-10'!F32</f>
        <v>0</v>
      </c>
      <c r="G32" s="311">
        <f>'d3'!G32-'d3-10'!G32</f>
        <v>0</v>
      </c>
      <c r="H32" s="311">
        <f>'d3'!H32-'d3-10'!H32</f>
        <v>0</v>
      </c>
      <c r="I32" s="311">
        <f>'d3'!I32-'d3-10'!I32</f>
        <v>0</v>
      </c>
      <c r="J32" s="311">
        <f>'d3'!J32-'d3-10'!J32</f>
        <v>0</v>
      </c>
      <c r="K32" s="311">
        <f>'d3'!K32-'d3-10'!K32</f>
        <v>0</v>
      </c>
      <c r="L32" s="311">
        <f>'d3'!L32-'d3-10'!L32</f>
        <v>0</v>
      </c>
      <c r="M32" s="311">
        <f>'d3'!M32-'d3-10'!M32</f>
        <v>0</v>
      </c>
      <c r="N32" s="311">
        <f>'d3'!N32-'d3-10'!N32</f>
        <v>0</v>
      </c>
      <c r="O32" s="311">
        <f>'d3'!O32-'d3-10'!O32</f>
        <v>0</v>
      </c>
      <c r="P32" s="311">
        <f>'d3'!P32-'d3-10'!P32</f>
        <v>0</v>
      </c>
    </row>
    <row r="33" spans="1:16" s="118" customFormat="1" ht="91.5" x14ac:dyDescent="0.2">
      <c r="A33" s="441" t="s">
        <v>491</v>
      </c>
      <c r="B33" s="441" t="s">
        <v>492</v>
      </c>
      <c r="C33" s="441" t="s">
        <v>308</v>
      </c>
      <c r="D33" s="441" t="s">
        <v>490</v>
      </c>
      <c r="E33" s="311">
        <f>'d3'!E33-'d3-10'!E33</f>
        <v>0</v>
      </c>
      <c r="F33" s="311">
        <f>'d3'!F33-'d3-10'!F33</f>
        <v>0</v>
      </c>
      <c r="G33" s="311">
        <f>'d3'!G33-'d3-10'!G33</f>
        <v>0</v>
      </c>
      <c r="H33" s="311">
        <f>'d3'!H33-'d3-10'!H33</f>
        <v>0</v>
      </c>
      <c r="I33" s="311">
        <f>'d3'!I33-'d3-10'!I33</f>
        <v>0</v>
      </c>
      <c r="J33" s="311">
        <f>'d3'!J33-'d3-10'!J33</f>
        <v>0</v>
      </c>
      <c r="K33" s="311">
        <f>'d3'!K33-'d3-10'!K33</f>
        <v>0</v>
      </c>
      <c r="L33" s="311">
        <f>'d3'!L33-'d3-10'!L33</f>
        <v>0</v>
      </c>
      <c r="M33" s="311">
        <f>'d3'!M33-'d3-10'!M33</f>
        <v>0</v>
      </c>
      <c r="N33" s="311">
        <f>'d3'!N33-'d3-10'!N33</f>
        <v>0</v>
      </c>
      <c r="O33" s="311">
        <f>'d3'!O33-'d3-10'!O33</f>
        <v>0</v>
      </c>
      <c r="P33" s="311">
        <f>'d3'!P33-'d3-10'!P33</f>
        <v>0</v>
      </c>
    </row>
    <row r="34" spans="1:16" s="118" customFormat="1" ht="91.5" x14ac:dyDescent="0.2">
      <c r="A34" s="441" t="s">
        <v>523</v>
      </c>
      <c r="B34" s="441" t="s">
        <v>524</v>
      </c>
      <c r="C34" s="441" t="s">
        <v>308</v>
      </c>
      <c r="D34" s="442" t="s">
        <v>522</v>
      </c>
      <c r="E34" s="311">
        <f>'d3'!E34-'d3-10'!E34</f>
        <v>0</v>
      </c>
      <c r="F34" s="311">
        <f>'d3'!F34-'d3-10'!F34</f>
        <v>0</v>
      </c>
      <c r="G34" s="311">
        <f>'d3'!G34-'d3-10'!G34</f>
        <v>0</v>
      </c>
      <c r="H34" s="311">
        <f>'d3'!H34-'d3-10'!H34</f>
        <v>0</v>
      </c>
      <c r="I34" s="311">
        <f>'d3'!I34-'d3-10'!I34</f>
        <v>0</v>
      </c>
      <c r="J34" s="311">
        <f>'d3'!J34-'d3-10'!J34</f>
        <v>0</v>
      </c>
      <c r="K34" s="311">
        <f>'d3'!K34-'d3-10'!K34</f>
        <v>0</v>
      </c>
      <c r="L34" s="311">
        <f>'d3'!L34-'d3-10'!L34</f>
        <v>0</v>
      </c>
      <c r="M34" s="311">
        <f>'d3'!M34-'d3-10'!M34</f>
        <v>0</v>
      </c>
      <c r="N34" s="311">
        <f>'d3'!N34-'d3-10'!N34</f>
        <v>0</v>
      </c>
      <c r="O34" s="311">
        <f>'d3'!O34-'d3-10'!O34</f>
        <v>0</v>
      </c>
      <c r="P34" s="311">
        <f>'d3'!P34-'d3-10'!P34</f>
        <v>0</v>
      </c>
    </row>
    <row r="35" spans="1:16" s="118" customFormat="1" ht="91.5" x14ac:dyDescent="0.2">
      <c r="A35" s="441" t="s">
        <v>797</v>
      </c>
      <c r="B35" s="441" t="s">
        <v>798</v>
      </c>
      <c r="C35" s="441" t="s">
        <v>308</v>
      </c>
      <c r="D35" s="442" t="s">
        <v>799</v>
      </c>
      <c r="E35" s="311">
        <f>'d3'!E35-'d3-10'!E35</f>
        <v>25000</v>
      </c>
      <c r="F35" s="311">
        <f>'d3'!F35-'d3-10'!F35</f>
        <v>25000</v>
      </c>
      <c r="G35" s="311">
        <f>'d3'!G35-'d3-10'!G35</f>
        <v>0</v>
      </c>
      <c r="H35" s="311">
        <f>'d3'!H35-'d3-10'!H35</f>
        <v>0</v>
      </c>
      <c r="I35" s="311">
        <f>'d3'!I35-'d3-10'!I35</f>
        <v>0</v>
      </c>
      <c r="J35" s="311">
        <f>'d3'!J35-'d3-10'!J35</f>
        <v>0</v>
      </c>
      <c r="K35" s="311">
        <f>'d3'!K35-'d3-10'!K35</f>
        <v>0</v>
      </c>
      <c r="L35" s="311">
        <f>'d3'!L35-'d3-10'!L35</f>
        <v>0</v>
      </c>
      <c r="M35" s="311">
        <f>'d3'!M35-'d3-10'!M35</f>
        <v>0</v>
      </c>
      <c r="N35" s="311">
        <f>'d3'!N35-'d3-10'!N35</f>
        <v>0</v>
      </c>
      <c r="O35" s="311">
        <f>'d3'!O35-'d3-10'!O35</f>
        <v>0</v>
      </c>
      <c r="P35" s="311">
        <f>'d3'!P35-'d3-10'!P35</f>
        <v>25000</v>
      </c>
    </row>
    <row r="36" spans="1:16" s="118" customFormat="1" ht="320.25" x14ac:dyDescent="0.2">
      <c r="A36" s="442" t="s">
        <v>801</v>
      </c>
      <c r="B36" s="442" t="s">
        <v>802</v>
      </c>
      <c r="C36" s="442" t="s">
        <v>273</v>
      </c>
      <c r="D36" s="442" t="s">
        <v>800</v>
      </c>
      <c r="E36" s="311">
        <f>'d3'!E36-'d3-10'!E36</f>
        <v>0</v>
      </c>
      <c r="F36" s="311">
        <f>'d3'!F36-'d3-10'!F36</f>
        <v>0</v>
      </c>
      <c r="G36" s="311">
        <f>'d3'!G36-'d3-10'!G36</f>
        <v>0</v>
      </c>
      <c r="H36" s="311">
        <f>'d3'!H36-'d3-10'!H36</f>
        <v>0</v>
      </c>
      <c r="I36" s="311">
        <f>'d3'!I36-'d3-10'!I36</f>
        <v>0</v>
      </c>
      <c r="J36" s="311">
        <f>'d3'!J36-'d3-10'!J36</f>
        <v>0</v>
      </c>
      <c r="K36" s="311">
        <f>'d3'!K36-'d3-10'!K36</f>
        <v>0</v>
      </c>
      <c r="L36" s="311">
        <f>'d3'!L36-'d3-10'!L36</f>
        <v>0</v>
      </c>
      <c r="M36" s="311">
        <f>'d3'!M36-'d3-10'!M36</f>
        <v>0</v>
      </c>
      <c r="N36" s="311">
        <f>'d3'!N36-'d3-10'!N36</f>
        <v>0</v>
      </c>
      <c r="O36" s="311">
        <f>'d3'!O36-'d3-10'!O36</f>
        <v>0</v>
      </c>
      <c r="P36" s="311">
        <f>'d3'!P36-'d3-10'!P36</f>
        <v>0</v>
      </c>
    </row>
    <row r="37" spans="1:16" s="118" customFormat="1" ht="183" x14ac:dyDescent="0.2">
      <c r="A37" s="442" t="s">
        <v>975</v>
      </c>
      <c r="B37" s="442" t="s">
        <v>974</v>
      </c>
      <c r="C37" s="442" t="s">
        <v>285</v>
      </c>
      <c r="D37" s="442" t="s">
        <v>976</v>
      </c>
      <c r="E37" s="311">
        <f>'d3'!E37-0</f>
        <v>0</v>
      </c>
      <c r="F37" s="311">
        <f>'d3'!F37-0</f>
        <v>0</v>
      </c>
      <c r="G37" s="311">
        <f>'d3'!G37-0</f>
        <v>0</v>
      </c>
      <c r="H37" s="311">
        <f>'d3'!H37-0</f>
        <v>0</v>
      </c>
      <c r="I37" s="311">
        <f>'d3'!I37-0</f>
        <v>0</v>
      </c>
      <c r="J37" s="311">
        <f>'d3'!J37-0</f>
        <v>1499056</v>
      </c>
      <c r="K37" s="311">
        <f>'d3'!K37-0</f>
        <v>1499056</v>
      </c>
      <c r="L37" s="311">
        <f>'d3'!L37-0</f>
        <v>0</v>
      </c>
      <c r="M37" s="311">
        <f>'d3'!M37-0</f>
        <v>0</v>
      </c>
      <c r="N37" s="311">
        <f>'d3'!N37-0</f>
        <v>0</v>
      </c>
      <c r="O37" s="311">
        <f>'d3'!O37-0</f>
        <v>1499056</v>
      </c>
      <c r="P37" s="311">
        <f>'d3'!P37-0</f>
        <v>1499056</v>
      </c>
    </row>
    <row r="38" spans="1:16" s="118" customFormat="1" ht="46.5" x14ac:dyDescent="0.2">
      <c r="A38" s="442" t="s">
        <v>310</v>
      </c>
      <c r="B38" s="442" t="s">
        <v>311</v>
      </c>
      <c r="C38" s="442" t="s">
        <v>312</v>
      </c>
      <c r="D38" s="442" t="s">
        <v>67</v>
      </c>
      <c r="E38" s="311">
        <f>'d3'!E38-'d3-10'!E37</f>
        <v>0</v>
      </c>
      <c r="F38" s="311">
        <f>'d3'!F38-'d3-10'!F37</f>
        <v>0</v>
      </c>
      <c r="G38" s="311">
        <f>'d3'!G38-'d3-10'!G37</f>
        <v>0</v>
      </c>
      <c r="H38" s="311">
        <f>'d3'!H38-'d3-10'!H37</f>
        <v>0</v>
      </c>
      <c r="I38" s="311">
        <f>'d3'!I38-'d3-10'!I37</f>
        <v>0</v>
      </c>
      <c r="J38" s="311">
        <f>'d3'!J38-'d3-10'!J37</f>
        <v>0</v>
      </c>
      <c r="K38" s="311">
        <f>'d3'!K38-'d3-10'!K37</f>
        <v>0</v>
      </c>
      <c r="L38" s="311">
        <f>'d3'!L38-'d3-10'!L37</f>
        <v>0</v>
      </c>
      <c r="M38" s="311">
        <f>'d3'!M38-'d3-10'!M37</f>
        <v>0</v>
      </c>
      <c r="N38" s="311">
        <f>'d3'!N38-'d3-10'!N37</f>
        <v>0</v>
      </c>
      <c r="O38" s="311">
        <f>'d3'!O38-'d3-10'!O37</f>
        <v>0</v>
      </c>
      <c r="P38" s="311">
        <f>'d3'!P38-'d3-10'!P37</f>
        <v>0</v>
      </c>
    </row>
    <row r="39" spans="1:16" ht="135" x14ac:dyDescent="0.2">
      <c r="A39" s="327" t="s">
        <v>234</v>
      </c>
      <c r="B39" s="327"/>
      <c r="C39" s="327"/>
      <c r="D39" s="328" t="s">
        <v>36</v>
      </c>
      <c r="E39" s="329">
        <f>E40</f>
        <v>-1560100</v>
      </c>
      <c r="F39" s="329">
        <f t="shared" ref="F39:G39" si="10">F40</f>
        <v>-1560100</v>
      </c>
      <c r="G39" s="329">
        <f t="shared" si="10"/>
        <v>-260800</v>
      </c>
      <c r="H39" s="329">
        <f>H40</f>
        <v>-29533</v>
      </c>
      <c r="I39" s="329">
        <f t="shared" ref="I39" si="11">I40</f>
        <v>0</v>
      </c>
      <c r="J39" s="329">
        <f>J40</f>
        <v>-497380</v>
      </c>
      <c r="K39" s="329">
        <f>K40</f>
        <v>-497380</v>
      </c>
      <c r="L39" s="329">
        <f>L40</f>
        <v>0</v>
      </c>
      <c r="M39" s="329">
        <f t="shared" ref="M39" si="12">M40</f>
        <v>0</v>
      </c>
      <c r="N39" s="329">
        <f>N40</f>
        <v>0</v>
      </c>
      <c r="O39" s="329">
        <f>O40</f>
        <v>-497380</v>
      </c>
      <c r="P39" s="329">
        <f>P40</f>
        <v>-2057480</v>
      </c>
    </row>
    <row r="40" spans="1:16" ht="135" x14ac:dyDescent="0.2">
      <c r="A40" s="324" t="s">
        <v>235</v>
      </c>
      <c r="B40" s="324"/>
      <c r="C40" s="324"/>
      <c r="D40" s="325" t="s">
        <v>59</v>
      </c>
      <c r="E40" s="326">
        <f>SUM(E41:E52)</f>
        <v>-1560100</v>
      </c>
      <c r="F40" s="326">
        <f t="shared" ref="F40:H40" si="13">SUM(F41:F52)</f>
        <v>-1560100</v>
      </c>
      <c r="G40" s="326">
        <f t="shared" si="13"/>
        <v>-260800</v>
      </c>
      <c r="H40" s="326">
        <f t="shared" si="13"/>
        <v>-29533</v>
      </c>
      <c r="I40" s="326">
        <f>SUM(I41:I52)</f>
        <v>0</v>
      </c>
      <c r="J40" s="326">
        <f>L40+O40</f>
        <v>-497380</v>
      </c>
      <c r="K40" s="326">
        <f>SUM(K41:K52)</f>
        <v>-497380</v>
      </c>
      <c r="L40" s="326">
        <f t="shared" ref="L40:N40" si="14">SUM(L41:L52)</f>
        <v>0</v>
      </c>
      <c r="M40" s="326">
        <f t="shared" si="14"/>
        <v>0</v>
      </c>
      <c r="N40" s="326">
        <f t="shared" si="14"/>
        <v>0</v>
      </c>
      <c r="O40" s="326">
        <f>SUM(O41:O52)</f>
        <v>-497380</v>
      </c>
      <c r="P40" s="326">
        <f t="shared" ref="P40" si="15">E40+J40</f>
        <v>-2057480</v>
      </c>
    </row>
    <row r="41" spans="1:16" ht="228.75" x14ac:dyDescent="0.2">
      <c r="A41" s="442" t="s">
        <v>705</v>
      </c>
      <c r="B41" s="442" t="s">
        <v>335</v>
      </c>
      <c r="C41" s="442" t="s">
        <v>333</v>
      </c>
      <c r="D41" s="442" t="s">
        <v>334</v>
      </c>
      <c r="E41" s="311">
        <f>'d3'!E41-'d3-10'!E40</f>
        <v>-243800</v>
      </c>
      <c r="F41" s="311">
        <f>'d3'!F41-'d3-10'!F40</f>
        <v>-243800</v>
      </c>
      <c r="G41" s="311">
        <f>'d3'!G41-'d3-10'!G40</f>
        <v>-200800</v>
      </c>
      <c r="H41" s="311">
        <f>'d3'!H41-'d3-10'!H40</f>
        <v>0</v>
      </c>
      <c r="I41" s="311">
        <f>'d3'!I41-'d3-10'!I40</f>
        <v>0</v>
      </c>
      <c r="J41" s="311">
        <f>'d3'!J41-'d3-10'!J40</f>
        <v>0</v>
      </c>
      <c r="K41" s="311">
        <f>'d3'!K41-'d3-10'!K40</f>
        <v>0</v>
      </c>
      <c r="L41" s="311">
        <f>'d3'!L41-'d3-10'!L40</f>
        <v>0</v>
      </c>
      <c r="M41" s="311">
        <f>'d3'!M41-'d3-10'!M40</f>
        <v>0</v>
      </c>
      <c r="N41" s="311">
        <f>'d3'!N41-'d3-10'!N40</f>
        <v>0</v>
      </c>
      <c r="O41" s="311">
        <f>'d3'!O41-'d3-10'!O40</f>
        <v>0</v>
      </c>
      <c r="P41" s="311">
        <f>'d3'!P41-'d3-10'!P40</f>
        <v>-243800</v>
      </c>
    </row>
    <row r="42" spans="1:16" ht="91.5" x14ac:dyDescent="0.2">
      <c r="A42" s="442" t="s">
        <v>313</v>
      </c>
      <c r="B42" s="442" t="s">
        <v>309</v>
      </c>
      <c r="C42" s="442" t="s">
        <v>314</v>
      </c>
      <c r="D42" s="442" t="s">
        <v>37</v>
      </c>
      <c r="E42" s="311">
        <f>'d3'!E42-'d3-10'!E41</f>
        <v>-200000</v>
      </c>
      <c r="F42" s="311">
        <f>'d3'!F42-'d3-10'!F41</f>
        <v>-200000</v>
      </c>
      <c r="G42" s="311">
        <f>'d3'!G42-'d3-10'!G41</f>
        <v>0</v>
      </c>
      <c r="H42" s="311">
        <f>'d3'!H42-'d3-10'!H41</f>
        <v>0</v>
      </c>
      <c r="I42" s="311">
        <f>'d3'!I42-'d3-10'!I41</f>
        <v>0</v>
      </c>
      <c r="J42" s="311">
        <f>'d3'!J42-'d3-10'!J41</f>
        <v>-552680</v>
      </c>
      <c r="K42" s="311">
        <f>'d3'!K42-'d3-10'!K41</f>
        <v>-552680</v>
      </c>
      <c r="L42" s="311">
        <f>'d3'!L42-'d3-10'!L41</f>
        <v>0</v>
      </c>
      <c r="M42" s="311">
        <f>'d3'!M42-'d3-10'!M41</f>
        <v>0</v>
      </c>
      <c r="N42" s="311">
        <f>'d3'!N42-'d3-10'!N41</f>
        <v>0</v>
      </c>
      <c r="O42" s="311">
        <f>'d3'!O42-'d3-10'!O41</f>
        <v>-552680</v>
      </c>
      <c r="P42" s="311">
        <f>'d3'!P42-'d3-10'!P41</f>
        <v>-752680</v>
      </c>
    </row>
    <row r="43" spans="1:16" ht="137.25" x14ac:dyDescent="0.2">
      <c r="A43" s="442" t="s">
        <v>315</v>
      </c>
      <c r="B43" s="442" t="s">
        <v>316</v>
      </c>
      <c r="C43" s="442" t="s">
        <v>317</v>
      </c>
      <c r="D43" s="442" t="s">
        <v>318</v>
      </c>
      <c r="E43" s="311">
        <f>'d3'!E43-'d3-10'!E42</f>
        <v>-30000</v>
      </c>
      <c r="F43" s="311">
        <f>'d3'!F43-'d3-10'!F42</f>
        <v>-30000</v>
      </c>
      <c r="G43" s="311">
        <f>'d3'!G43-'d3-10'!G42</f>
        <v>0</v>
      </c>
      <c r="H43" s="311">
        <f>'d3'!H43-'d3-10'!H42</f>
        <v>0</v>
      </c>
      <c r="I43" s="311">
        <f>'d3'!I43-'d3-10'!I42</f>
        <v>0</v>
      </c>
      <c r="J43" s="311">
        <f>'d3'!J43-'d3-10'!J42</f>
        <v>0</v>
      </c>
      <c r="K43" s="311">
        <f>'d3'!K43-'d3-10'!K42</f>
        <v>0</v>
      </c>
      <c r="L43" s="311">
        <f>'d3'!L43-'d3-10'!L42</f>
        <v>0</v>
      </c>
      <c r="M43" s="311">
        <f>'d3'!M43-'d3-10'!M42</f>
        <v>0</v>
      </c>
      <c r="N43" s="311">
        <f>'d3'!N43-'d3-10'!N42</f>
        <v>0</v>
      </c>
      <c r="O43" s="311">
        <f>'d3'!O43-'d3-10'!O42</f>
        <v>0</v>
      </c>
      <c r="P43" s="311">
        <f>'d3'!P43-'d3-10'!P42</f>
        <v>-30000</v>
      </c>
    </row>
    <row r="44" spans="1:16" ht="137.25" x14ac:dyDescent="0.2">
      <c r="A44" s="442" t="s">
        <v>319</v>
      </c>
      <c r="B44" s="442" t="s">
        <v>320</v>
      </c>
      <c r="C44" s="442" t="s">
        <v>321</v>
      </c>
      <c r="D44" s="442" t="s">
        <v>538</v>
      </c>
      <c r="E44" s="311">
        <f>'d3'!E44-'d3-10'!E43</f>
        <v>-900000</v>
      </c>
      <c r="F44" s="311">
        <f>'d3'!F44-'d3-10'!F43</f>
        <v>-900000</v>
      </c>
      <c r="G44" s="311">
        <f>'d3'!G44-'d3-10'!G43</f>
        <v>0</v>
      </c>
      <c r="H44" s="311">
        <f>'d3'!H44-'d3-10'!H43</f>
        <v>0</v>
      </c>
      <c r="I44" s="311">
        <f>'d3'!I44-'d3-10'!I43</f>
        <v>0</v>
      </c>
      <c r="J44" s="311">
        <f>'d3'!J44-'d3-10'!J43</f>
        <v>0</v>
      </c>
      <c r="K44" s="311">
        <f>'d3'!K44-'d3-10'!K43</f>
        <v>0</v>
      </c>
      <c r="L44" s="311">
        <f>'d3'!L44-'d3-10'!L43</f>
        <v>0</v>
      </c>
      <c r="M44" s="311">
        <f>'d3'!M44-'d3-10'!M43</f>
        <v>0</v>
      </c>
      <c r="N44" s="311">
        <f>'d3'!N44-'d3-10'!N43</f>
        <v>0</v>
      </c>
      <c r="O44" s="311">
        <f>'d3'!O44-'d3-10'!O43</f>
        <v>0</v>
      </c>
      <c r="P44" s="311">
        <f>'d3'!P44-'d3-10'!P43</f>
        <v>-900000</v>
      </c>
    </row>
    <row r="45" spans="1:16" ht="91.5" x14ac:dyDescent="0.2">
      <c r="A45" s="442" t="s">
        <v>322</v>
      </c>
      <c r="B45" s="442" t="s">
        <v>323</v>
      </c>
      <c r="C45" s="442" t="s">
        <v>324</v>
      </c>
      <c r="D45" s="442" t="s">
        <v>325</v>
      </c>
      <c r="E45" s="311">
        <f>'d3'!E45-'d3-10'!E44</f>
        <v>0</v>
      </c>
      <c r="F45" s="311">
        <f>'d3'!F45-'d3-10'!F44</f>
        <v>0</v>
      </c>
      <c r="G45" s="311">
        <f>'d3'!G45-'d3-10'!G44</f>
        <v>0</v>
      </c>
      <c r="H45" s="311">
        <f>'d3'!H45-'d3-10'!H44</f>
        <v>0</v>
      </c>
      <c r="I45" s="311">
        <f>'d3'!I45-'d3-10'!I44</f>
        <v>0</v>
      </c>
      <c r="J45" s="311">
        <f>'d3'!J45-'d3-10'!J44</f>
        <v>0</v>
      </c>
      <c r="K45" s="311">
        <f>'d3'!K45-'d3-10'!K44</f>
        <v>0</v>
      </c>
      <c r="L45" s="311">
        <f>'d3'!L45-'d3-10'!L44</f>
        <v>0</v>
      </c>
      <c r="M45" s="311">
        <f>'d3'!M45-'d3-10'!M44</f>
        <v>0</v>
      </c>
      <c r="N45" s="311">
        <f>'d3'!N45-'d3-10'!N44</f>
        <v>0</v>
      </c>
      <c r="O45" s="311">
        <f>'d3'!O45-'d3-10'!O44</f>
        <v>0</v>
      </c>
      <c r="P45" s="311">
        <f>'d3'!P45-'d3-10'!P44</f>
        <v>0</v>
      </c>
    </row>
    <row r="46" spans="1:16" ht="183" x14ac:dyDescent="0.2">
      <c r="A46" s="442" t="s">
        <v>326</v>
      </c>
      <c r="B46" s="441" t="s">
        <v>327</v>
      </c>
      <c r="C46" s="441" t="s">
        <v>539</v>
      </c>
      <c r="D46" s="442" t="s">
        <v>328</v>
      </c>
      <c r="E46" s="311">
        <f>'d3'!E46-'d3-10'!E45</f>
        <v>0</v>
      </c>
      <c r="F46" s="311">
        <f>'d3'!F46-'d3-10'!F45</f>
        <v>0</v>
      </c>
      <c r="G46" s="311">
        <f>'d3'!G46-'d3-10'!G45</f>
        <v>0</v>
      </c>
      <c r="H46" s="311">
        <f>'d3'!H46-'d3-10'!H45</f>
        <v>0</v>
      </c>
      <c r="I46" s="311">
        <f>'d3'!I46-'d3-10'!I45</f>
        <v>0</v>
      </c>
      <c r="J46" s="311">
        <f>'d3'!J46-'d3-10'!J45</f>
        <v>0</v>
      </c>
      <c r="K46" s="311">
        <f>'d3'!K46-'d3-10'!K45</f>
        <v>0</v>
      </c>
      <c r="L46" s="311">
        <f>'d3'!L46-'d3-10'!L45</f>
        <v>0</v>
      </c>
      <c r="M46" s="311">
        <f>'d3'!M46-'d3-10'!M45</f>
        <v>0</v>
      </c>
      <c r="N46" s="311">
        <f>'d3'!N46-'d3-10'!N45</f>
        <v>0</v>
      </c>
      <c r="O46" s="311">
        <f>'d3'!O46-'d3-10'!O45</f>
        <v>0</v>
      </c>
      <c r="P46" s="311">
        <f>'d3'!P46-'d3-10'!P45</f>
        <v>0</v>
      </c>
    </row>
    <row r="47" spans="1:16" ht="137.25" x14ac:dyDescent="0.2">
      <c r="A47" s="442" t="s">
        <v>577</v>
      </c>
      <c r="B47" s="442" t="s">
        <v>578</v>
      </c>
      <c r="C47" s="441" t="s">
        <v>329</v>
      </c>
      <c r="D47" s="269" t="s">
        <v>579</v>
      </c>
      <c r="E47" s="311">
        <f>'d3'!E47-'d3-10'!E46</f>
        <v>-156300</v>
      </c>
      <c r="F47" s="311">
        <f>'d3'!F47-'d3-10'!F46</f>
        <v>-156300</v>
      </c>
      <c r="G47" s="311">
        <f>'d3'!G47-'d3-10'!G46</f>
        <v>0</v>
      </c>
      <c r="H47" s="311">
        <f>'d3'!H47-'d3-10'!H46</f>
        <v>0</v>
      </c>
      <c r="I47" s="311">
        <f>'d3'!I47-'d3-10'!I46</f>
        <v>0</v>
      </c>
      <c r="J47" s="311">
        <f>'d3'!J47-'d3-10'!J46</f>
        <v>0</v>
      </c>
      <c r="K47" s="311">
        <f>'d3'!K47-'d3-10'!K46</f>
        <v>0</v>
      </c>
      <c r="L47" s="311">
        <f>'d3'!L47-'d3-10'!L46</f>
        <v>0</v>
      </c>
      <c r="M47" s="311">
        <f>'d3'!M47-'d3-10'!M46</f>
        <v>0</v>
      </c>
      <c r="N47" s="311">
        <f>'d3'!N47-'d3-10'!N46</f>
        <v>0</v>
      </c>
      <c r="O47" s="311">
        <f>'d3'!O47-'d3-10'!O46</f>
        <v>0</v>
      </c>
      <c r="P47" s="311">
        <f>'d3'!P47-'d3-10'!P46</f>
        <v>-156300</v>
      </c>
    </row>
    <row r="48" spans="1:16" ht="137.25" x14ac:dyDescent="0.2">
      <c r="A48" s="442" t="s">
        <v>582</v>
      </c>
      <c r="B48" s="442" t="s">
        <v>581</v>
      </c>
      <c r="C48" s="441" t="s">
        <v>329</v>
      </c>
      <c r="D48" s="269" t="s">
        <v>580</v>
      </c>
      <c r="E48" s="311">
        <f>'d3'!E48-'d3-10'!E47</f>
        <v>232000</v>
      </c>
      <c r="F48" s="311">
        <f>'d3'!F48-'d3-10'!F47</f>
        <v>232000</v>
      </c>
      <c r="G48" s="311">
        <f>'d3'!G48-'d3-10'!G47</f>
        <v>0</v>
      </c>
      <c r="H48" s="311">
        <f>'d3'!H48-'d3-10'!H47</f>
        <v>0</v>
      </c>
      <c r="I48" s="311">
        <f>'d3'!I48-'d3-10'!I47</f>
        <v>0</v>
      </c>
      <c r="J48" s="311">
        <f>'d3'!J48-'d3-10'!J47</f>
        <v>0</v>
      </c>
      <c r="K48" s="311">
        <f>'d3'!K48-'d3-10'!K47</f>
        <v>0</v>
      </c>
      <c r="L48" s="311">
        <f>'d3'!L48-'d3-10'!L47</f>
        <v>0</v>
      </c>
      <c r="M48" s="311">
        <f>'d3'!M48-'d3-10'!M47</f>
        <v>0</v>
      </c>
      <c r="N48" s="311">
        <f>'d3'!N48-'d3-10'!N47</f>
        <v>0</v>
      </c>
      <c r="O48" s="311">
        <f>'d3'!O48-'d3-10'!O47</f>
        <v>0</v>
      </c>
      <c r="P48" s="311">
        <f>'d3'!P48-'d3-10'!P47</f>
        <v>232000</v>
      </c>
    </row>
    <row r="49" spans="1:16" s="118" customFormat="1" ht="91.5" x14ac:dyDescent="0.2">
      <c r="A49" s="442" t="s">
        <v>495</v>
      </c>
      <c r="B49" s="442" t="s">
        <v>497</v>
      </c>
      <c r="C49" s="441" t="s">
        <v>329</v>
      </c>
      <c r="D49" s="269" t="s">
        <v>493</v>
      </c>
      <c r="E49" s="311">
        <f>'d3'!E49-'d3-10'!E48</f>
        <v>-102000</v>
      </c>
      <c r="F49" s="311">
        <f>'d3'!F49-'d3-10'!F48</f>
        <v>-102000</v>
      </c>
      <c r="G49" s="311">
        <f>'d3'!G49-'d3-10'!G48</f>
        <v>-60000</v>
      </c>
      <c r="H49" s="311">
        <f>'d3'!H49-'d3-10'!H48</f>
        <v>-29533</v>
      </c>
      <c r="I49" s="311">
        <f>'d3'!I49-'d3-10'!I48</f>
        <v>0</v>
      </c>
      <c r="J49" s="311">
        <f>'d3'!J49-'d3-10'!J48</f>
        <v>0</v>
      </c>
      <c r="K49" s="311">
        <f>'d3'!K49-'d3-10'!K48</f>
        <v>0</v>
      </c>
      <c r="L49" s="311">
        <f>'d3'!L49-'d3-10'!L48</f>
        <v>0</v>
      </c>
      <c r="M49" s="311">
        <f>'d3'!M49-'d3-10'!M48</f>
        <v>0</v>
      </c>
      <c r="N49" s="311">
        <f>'d3'!N49-'d3-10'!N48</f>
        <v>0</v>
      </c>
      <c r="O49" s="311">
        <f>'d3'!O49-'d3-10'!O48</f>
        <v>0</v>
      </c>
      <c r="P49" s="311">
        <f>'d3'!P49-'d3-10'!P48</f>
        <v>-102000</v>
      </c>
    </row>
    <row r="50" spans="1:16" s="118" customFormat="1" ht="91.5" x14ac:dyDescent="0.2">
      <c r="A50" s="442" t="s">
        <v>496</v>
      </c>
      <c r="B50" s="442" t="s">
        <v>498</v>
      </c>
      <c r="C50" s="441" t="s">
        <v>329</v>
      </c>
      <c r="D50" s="269" t="s">
        <v>494</v>
      </c>
      <c r="E50" s="311">
        <f>'d3'!E50-'d3-10'!E49</f>
        <v>-160000</v>
      </c>
      <c r="F50" s="311">
        <f>'d3'!F50-'d3-10'!F49</f>
        <v>-160000</v>
      </c>
      <c r="G50" s="311">
        <f>'d3'!G50-'d3-10'!G49</f>
        <v>0</v>
      </c>
      <c r="H50" s="311">
        <f>'d3'!H50-'d3-10'!H49</f>
        <v>0</v>
      </c>
      <c r="I50" s="311">
        <f>'d3'!I50-'d3-10'!I49</f>
        <v>0</v>
      </c>
      <c r="J50" s="311">
        <f>'d3'!J50-'d3-10'!J49</f>
        <v>0</v>
      </c>
      <c r="K50" s="311">
        <f>'d3'!K50-'d3-10'!K49</f>
        <v>0</v>
      </c>
      <c r="L50" s="311">
        <f>'d3'!L50-'d3-10'!L49</f>
        <v>0</v>
      </c>
      <c r="M50" s="311">
        <f>'d3'!M50-'d3-10'!M49</f>
        <v>0</v>
      </c>
      <c r="N50" s="311">
        <f>'d3'!N50-'d3-10'!N49</f>
        <v>0</v>
      </c>
      <c r="O50" s="311">
        <f>'d3'!O50-'d3-10'!O49</f>
        <v>0</v>
      </c>
      <c r="P50" s="311">
        <f>'d3'!P50-'d3-10'!P49</f>
        <v>-160000</v>
      </c>
    </row>
    <row r="51" spans="1:16" s="118" customFormat="1" ht="91.5" x14ac:dyDescent="0.2">
      <c r="A51" s="442" t="s">
        <v>863</v>
      </c>
      <c r="B51" s="442" t="s">
        <v>287</v>
      </c>
      <c r="C51" s="442" t="s">
        <v>250</v>
      </c>
      <c r="D51" s="442" t="s">
        <v>57</v>
      </c>
      <c r="E51" s="311">
        <f>'d3'!E51-'d3-10'!E50</f>
        <v>0</v>
      </c>
      <c r="F51" s="311">
        <f>'d3'!F51-'d3-10'!F50</f>
        <v>0</v>
      </c>
      <c r="G51" s="311">
        <f>'d3'!G51-'d3-10'!G50</f>
        <v>0</v>
      </c>
      <c r="H51" s="311">
        <f>'d3'!H51-'d3-10'!H50</f>
        <v>0</v>
      </c>
      <c r="I51" s="311">
        <f>'d3'!I51-'d3-10'!I50</f>
        <v>0</v>
      </c>
      <c r="J51" s="311">
        <f>'d3'!J51-'d3-10'!J50</f>
        <v>55300</v>
      </c>
      <c r="K51" s="311">
        <f>'d3'!K51-'d3-10'!K50</f>
        <v>55300</v>
      </c>
      <c r="L51" s="311">
        <f>'d3'!L51-'d3-10'!L50</f>
        <v>0</v>
      </c>
      <c r="M51" s="311">
        <f>'d3'!M51-'d3-10'!M50</f>
        <v>0</v>
      </c>
      <c r="N51" s="311">
        <f>'d3'!N51-'d3-10'!N50</f>
        <v>0</v>
      </c>
      <c r="O51" s="311">
        <f>'d3'!O51-'d3-10'!O50</f>
        <v>55300</v>
      </c>
      <c r="P51" s="311">
        <f>'d3'!P51-'d3-10'!P50</f>
        <v>55300</v>
      </c>
    </row>
    <row r="52" spans="1:16" s="118" customFormat="1" ht="91.5" x14ac:dyDescent="0.2">
      <c r="A52" s="442" t="s">
        <v>865</v>
      </c>
      <c r="B52" s="442" t="s">
        <v>587</v>
      </c>
      <c r="C52" s="442" t="s">
        <v>71</v>
      </c>
      <c r="D52" s="442" t="s">
        <v>588</v>
      </c>
      <c r="E52" s="311">
        <f>'d3'!E52-'d3-10'!E51</f>
        <v>0</v>
      </c>
      <c r="F52" s="311">
        <f>'d3'!F52-'d3-10'!F51</f>
        <v>0</v>
      </c>
      <c r="G52" s="311">
        <f>'d3'!G52-'d3-10'!G51</f>
        <v>0</v>
      </c>
      <c r="H52" s="311">
        <f>'d3'!H52-'d3-10'!H51</f>
        <v>0</v>
      </c>
      <c r="I52" s="311">
        <f>'d3'!I52-'d3-10'!I51</f>
        <v>0</v>
      </c>
      <c r="J52" s="311">
        <f>'d3'!J52-'d3-10'!J51</f>
        <v>0</v>
      </c>
      <c r="K52" s="311">
        <f>'d3'!K52-'d3-10'!K51</f>
        <v>0</v>
      </c>
      <c r="L52" s="311">
        <f>'d3'!L52-'d3-10'!L51</f>
        <v>0</v>
      </c>
      <c r="M52" s="311">
        <f>'d3'!M52-'d3-10'!M51</f>
        <v>0</v>
      </c>
      <c r="N52" s="311">
        <f>'d3'!N52-'d3-10'!N51</f>
        <v>0</v>
      </c>
      <c r="O52" s="311">
        <f>'d3'!O52-'d3-10'!O51</f>
        <v>0</v>
      </c>
      <c r="P52" s="311">
        <f>'d3'!P52-'d3-10'!P51</f>
        <v>0</v>
      </c>
    </row>
    <row r="53" spans="1:16" ht="180" x14ac:dyDescent="0.2">
      <c r="A53" s="327" t="s">
        <v>236</v>
      </c>
      <c r="B53" s="327"/>
      <c r="C53" s="327"/>
      <c r="D53" s="328" t="s">
        <v>60</v>
      </c>
      <c r="E53" s="329">
        <f>E54</f>
        <v>10185076</v>
      </c>
      <c r="F53" s="329">
        <f t="shared" ref="F53:G53" si="16">F54</f>
        <v>10185076</v>
      </c>
      <c r="G53" s="329">
        <f t="shared" si="16"/>
        <v>1038000</v>
      </c>
      <c r="H53" s="329">
        <f>H54</f>
        <v>-79559</v>
      </c>
      <c r="I53" s="329">
        <f t="shared" ref="I53" si="17">I54</f>
        <v>0</v>
      </c>
      <c r="J53" s="329">
        <f>J54</f>
        <v>1413733</v>
      </c>
      <c r="K53" s="329">
        <f>K54</f>
        <v>1413733</v>
      </c>
      <c r="L53" s="329">
        <f>L54</f>
        <v>0</v>
      </c>
      <c r="M53" s="329">
        <f t="shared" ref="M53" si="18">M54</f>
        <v>0</v>
      </c>
      <c r="N53" s="329">
        <f>N54</f>
        <v>0</v>
      </c>
      <c r="O53" s="329">
        <f>O54</f>
        <v>1413733</v>
      </c>
      <c r="P53" s="329">
        <f>P54</f>
        <v>11598809</v>
      </c>
    </row>
    <row r="54" spans="1:16" ht="180" x14ac:dyDescent="0.2">
      <c r="A54" s="324" t="s">
        <v>237</v>
      </c>
      <c r="B54" s="324"/>
      <c r="C54" s="324"/>
      <c r="D54" s="325" t="s">
        <v>61</v>
      </c>
      <c r="E54" s="326">
        <f>SUM(E55:E110)</f>
        <v>10185076</v>
      </c>
      <c r="F54" s="326">
        <f>SUM(F55:F110)</f>
        <v>10185076</v>
      </c>
      <c r="G54" s="326">
        <f>SUM(G55:G110)</f>
        <v>1038000</v>
      </c>
      <c r="H54" s="326">
        <f>SUM(H55:H110)</f>
        <v>-79559</v>
      </c>
      <c r="I54" s="326">
        <f>SUM(I55:I110)</f>
        <v>0</v>
      </c>
      <c r="J54" s="326">
        <f t="shared" ref="J54" si="19">L54+O54</f>
        <v>1413733</v>
      </c>
      <c r="K54" s="326">
        <f>SUM(K55:K110)</f>
        <v>1413733</v>
      </c>
      <c r="L54" s="326">
        <f>SUM(L55:L110)</f>
        <v>0</v>
      </c>
      <c r="M54" s="326">
        <f>SUM(M55:M110)</f>
        <v>0</v>
      </c>
      <c r="N54" s="326">
        <f>SUM(N55:N110)</f>
        <v>0</v>
      </c>
      <c r="O54" s="326">
        <f>SUM(O55:O110)</f>
        <v>1413733</v>
      </c>
      <c r="P54" s="326">
        <f t="shared" ref="P54" si="20">E54+J54</f>
        <v>11598809</v>
      </c>
    </row>
    <row r="55" spans="1:16" ht="228.75" x14ac:dyDescent="0.2">
      <c r="A55" s="442" t="s">
        <v>704</v>
      </c>
      <c r="B55" s="442" t="s">
        <v>335</v>
      </c>
      <c r="C55" s="442" t="s">
        <v>333</v>
      </c>
      <c r="D55" s="442" t="s">
        <v>334</v>
      </c>
      <c r="E55" s="311">
        <f>'d3'!E55-'d3-10'!E54</f>
        <v>1035900</v>
      </c>
      <c r="F55" s="311">
        <f>'d3'!F55-'d3-10'!F54</f>
        <v>1035900</v>
      </c>
      <c r="G55" s="311">
        <f>'d3'!G55-'d3-10'!G54</f>
        <v>1052600</v>
      </c>
      <c r="H55" s="311">
        <f>'d3'!H55-'d3-10'!H54</f>
        <v>-80000</v>
      </c>
      <c r="I55" s="311">
        <f>'d3'!I55-'d3-10'!I54</f>
        <v>0</v>
      </c>
      <c r="J55" s="311">
        <f>'d3'!J55-'d3-10'!J54</f>
        <v>0</v>
      </c>
      <c r="K55" s="311">
        <f>'d3'!K55-'d3-10'!K54</f>
        <v>0</v>
      </c>
      <c r="L55" s="311">
        <f>'d3'!L55-'d3-10'!L54</f>
        <v>0</v>
      </c>
      <c r="M55" s="311">
        <f>'d3'!M55-'d3-10'!M54</f>
        <v>0</v>
      </c>
      <c r="N55" s="311">
        <f>'d3'!N55-'d3-10'!N54</f>
        <v>0</v>
      </c>
      <c r="O55" s="311">
        <f>'d3'!O55-'d3-10'!O54</f>
        <v>0</v>
      </c>
      <c r="P55" s="311">
        <f>'d3'!P55-'d3-10'!P54</f>
        <v>1035900</v>
      </c>
    </row>
    <row r="56" spans="1:16" ht="183" x14ac:dyDescent="0.2">
      <c r="A56" s="441" t="s">
        <v>350</v>
      </c>
      <c r="B56" s="441" t="s">
        <v>351</v>
      </c>
      <c r="C56" s="441" t="s">
        <v>296</v>
      </c>
      <c r="D56" s="443" t="s">
        <v>349</v>
      </c>
      <c r="E56" s="311">
        <f>'d3'!E56-'d3-10'!E55</f>
        <v>6397000</v>
      </c>
      <c r="F56" s="311">
        <f>'d3'!F56-'d3-10'!F55</f>
        <v>6397000</v>
      </c>
      <c r="G56" s="311">
        <f>'d3'!G56-'d3-10'!G55</f>
        <v>0</v>
      </c>
      <c r="H56" s="311">
        <f>'d3'!H56-'d3-10'!H55</f>
        <v>0</v>
      </c>
      <c r="I56" s="311">
        <f>'d3'!I56-'d3-10'!I55</f>
        <v>0</v>
      </c>
      <c r="J56" s="311">
        <f>'d3'!J56-'d3-10'!J55</f>
        <v>0</v>
      </c>
      <c r="K56" s="311">
        <f>'d3'!K56-'d3-10'!K55</f>
        <v>0</v>
      </c>
      <c r="L56" s="311">
        <f>'d3'!L56-'d3-10'!L55</f>
        <v>0</v>
      </c>
      <c r="M56" s="311">
        <f>'d3'!M56-'d3-10'!M55</f>
        <v>0</v>
      </c>
      <c r="N56" s="311">
        <f>'d3'!N56-'d3-10'!N55</f>
        <v>0</v>
      </c>
      <c r="O56" s="311">
        <f>'d3'!O56-'d3-10'!O55</f>
        <v>0</v>
      </c>
      <c r="P56" s="311">
        <f>'d3'!P56-'d3-10'!P55</f>
        <v>6397000</v>
      </c>
    </row>
    <row r="57" spans="1:16" ht="137.25" x14ac:dyDescent="0.2">
      <c r="A57" s="271" t="s">
        <v>369</v>
      </c>
      <c r="B57" s="441" t="s">
        <v>370</v>
      </c>
      <c r="C57" s="441" t="s">
        <v>79</v>
      </c>
      <c r="D57" s="442" t="s">
        <v>8</v>
      </c>
      <c r="E57" s="311">
        <f>'d3'!E57-'d3-10'!E56</f>
        <v>0</v>
      </c>
      <c r="F57" s="311">
        <f>'d3'!F57-'d3-10'!F56</f>
        <v>0</v>
      </c>
      <c r="G57" s="311">
        <f>'d3'!G57-'d3-10'!G56</f>
        <v>0</v>
      </c>
      <c r="H57" s="311">
        <f>'d3'!H57-'d3-10'!H56</f>
        <v>0</v>
      </c>
      <c r="I57" s="311">
        <f>'d3'!I57-'d3-10'!I56</f>
        <v>0</v>
      </c>
      <c r="J57" s="311">
        <f>'d3'!J57-'d3-10'!J56</f>
        <v>0</v>
      </c>
      <c r="K57" s="311">
        <f>'d3'!K57-'d3-10'!K56</f>
        <v>0</v>
      </c>
      <c r="L57" s="311">
        <f>'d3'!L57-'d3-10'!L56</f>
        <v>0</v>
      </c>
      <c r="M57" s="311">
        <f>'d3'!M57-'d3-10'!M56</f>
        <v>0</v>
      </c>
      <c r="N57" s="311">
        <f>'d3'!N57-'d3-10'!N56</f>
        <v>0</v>
      </c>
      <c r="O57" s="311">
        <f>'d3'!O57-'d3-10'!O56</f>
        <v>0</v>
      </c>
      <c r="P57" s="311">
        <f>'d3'!P57-'d3-10'!P56</f>
        <v>0</v>
      </c>
    </row>
    <row r="58" spans="1:16" ht="228.75" x14ac:dyDescent="0.2">
      <c r="A58" s="442" t="s">
        <v>372</v>
      </c>
      <c r="B58" s="442" t="s">
        <v>373</v>
      </c>
      <c r="C58" s="442" t="s">
        <v>296</v>
      </c>
      <c r="D58" s="250" t="s">
        <v>371</v>
      </c>
      <c r="E58" s="311">
        <f>'d3'!E58-'d3-10'!E57</f>
        <v>0</v>
      </c>
      <c r="F58" s="311">
        <f>'d3'!F58-'d3-10'!F57</f>
        <v>0</v>
      </c>
      <c r="G58" s="311">
        <f>'d3'!G58-'d3-10'!G57</f>
        <v>0</v>
      </c>
      <c r="H58" s="311">
        <f>'d3'!H58-'d3-10'!H57</f>
        <v>0</v>
      </c>
      <c r="I58" s="311">
        <f>'d3'!I58-'d3-10'!I57</f>
        <v>0</v>
      </c>
      <c r="J58" s="311">
        <f>'d3'!J58-'d3-10'!J57</f>
        <v>0</v>
      </c>
      <c r="K58" s="311">
        <f>'d3'!K58-'d3-10'!K57</f>
        <v>0</v>
      </c>
      <c r="L58" s="311">
        <f>'d3'!L58-'d3-10'!L57</f>
        <v>0</v>
      </c>
      <c r="M58" s="311">
        <f>'d3'!M58-'d3-10'!M57</f>
        <v>0</v>
      </c>
      <c r="N58" s="311">
        <f>'d3'!N58-'d3-10'!N57</f>
        <v>0</v>
      </c>
      <c r="O58" s="311">
        <f>'d3'!O58-'d3-10'!O57</f>
        <v>0</v>
      </c>
      <c r="P58" s="311">
        <f>'d3'!P58-'d3-10'!P57</f>
        <v>0</v>
      </c>
    </row>
    <row r="59" spans="1:16" ht="228.75" x14ac:dyDescent="0.2">
      <c r="A59" s="442" t="s">
        <v>374</v>
      </c>
      <c r="B59" s="442" t="s">
        <v>375</v>
      </c>
      <c r="C59" s="250">
        <v>1060</v>
      </c>
      <c r="D59" s="272" t="s">
        <v>19</v>
      </c>
      <c r="E59" s="311">
        <f>'d3'!E59-'d3-10'!E58</f>
        <v>0</v>
      </c>
      <c r="F59" s="311">
        <f>'d3'!F59-'d3-10'!F58</f>
        <v>0</v>
      </c>
      <c r="G59" s="311">
        <f>'d3'!G59-'d3-10'!G58</f>
        <v>0</v>
      </c>
      <c r="H59" s="311">
        <f>'d3'!H59-'d3-10'!H58</f>
        <v>0</v>
      </c>
      <c r="I59" s="311">
        <f>'d3'!I59-'d3-10'!I58</f>
        <v>0</v>
      </c>
      <c r="J59" s="311">
        <f>'d3'!J59-'d3-10'!J58</f>
        <v>0</v>
      </c>
      <c r="K59" s="311">
        <f>'d3'!K59-'d3-10'!K58</f>
        <v>0</v>
      </c>
      <c r="L59" s="311">
        <f>'d3'!L59-'d3-10'!L58</f>
        <v>0</v>
      </c>
      <c r="M59" s="311">
        <f>'d3'!M59-'d3-10'!M58</f>
        <v>0</v>
      </c>
      <c r="N59" s="311">
        <f>'d3'!N59-'d3-10'!N58</f>
        <v>0</v>
      </c>
      <c r="O59" s="311">
        <f>'d3'!O59-'d3-10'!O58</f>
        <v>0</v>
      </c>
      <c r="P59" s="311">
        <f>'d3'!P59-'d3-10'!P58</f>
        <v>0</v>
      </c>
    </row>
    <row r="60" spans="1:16" s="118" customFormat="1" ht="137.25" x14ac:dyDescent="0.2">
      <c r="A60" s="441" t="s">
        <v>400</v>
      </c>
      <c r="B60" s="441" t="s">
        <v>401</v>
      </c>
      <c r="C60" s="441" t="s">
        <v>296</v>
      </c>
      <c r="D60" s="443" t="s">
        <v>402</v>
      </c>
      <c r="E60" s="311">
        <f>'d3'!E60-'d3-10'!E59</f>
        <v>-86000</v>
      </c>
      <c r="F60" s="311">
        <f>'d3'!F60-'d3-10'!F59</f>
        <v>-86000</v>
      </c>
      <c r="G60" s="311">
        <f>'d3'!G60-'d3-10'!G59</f>
        <v>0</v>
      </c>
      <c r="H60" s="311">
        <f>'d3'!H60-'d3-10'!H59</f>
        <v>0</v>
      </c>
      <c r="I60" s="311">
        <f>'d3'!I60-'d3-10'!I59</f>
        <v>0</v>
      </c>
      <c r="J60" s="311">
        <f>'d3'!J60-'d3-10'!J59</f>
        <v>0</v>
      </c>
      <c r="K60" s="311">
        <f>'d3'!K60-'d3-10'!K59</f>
        <v>0</v>
      </c>
      <c r="L60" s="311">
        <f>'d3'!L60-'d3-10'!L59</f>
        <v>0</v>
      </c>
      <c r="M60" s="311">
        <f>'d3'!M60-'d3-10'!M59</f>
        <v>0</v>
      </c>
      <c r="N60" s="311">
        <f>'d3'!N60-'d3-10'!N59</f>
        <v>0</v>
      </c>
      <c r="O60" s="311">
        <f>'d3'!O60-'d3-10'!O59</f>
        <v>0</v>
      </c>
      <c r="P60" s="311">
        <f>'d3'!P60-'d3-10'!P59</f>
        <v>-86000</v>
      </c>
    </row>
    <row r="61" spans="1:16" s="118" customFormat="1" ht="137.25" x14ac:dyDescent="0.2">
      <c r="A61" s="442" t="s">
        <v>403</v>
      </c>
      <c r="B61" s="442" t="s">
        <v>404</v>
      </c>
      <c r="C61" s="442" t="s">
        <v>297</v>
      </c>
      <c r="D61" s="442" t="s">
        <v>16</v>
      </c>
      <c r="E61" s="311">
        <f>'d3'!E61-'d3-10'!E60</f>
        <v>-45000</v>
      </c>
      <c r="F61" s="311">
        <f>'d3'!F61-'d3-10'!F60</f>
        <v>-45000</v>
      </c>
      <c r="G61" s="311">
        <f>'d3'!G61-'d3-10'!G60</f>
        <v>0</v>
      </c>
      <c r="H61" s="311">
        <f>'d3'!H61-'d3-10'!H60</f>
        <v>0</v>
      </c>
      <c r="I61" s="311">
        <f>'d3'!I61-'d3-10'!I60</f>
        <v>0</v>
      </c>
      <c r="J61" s="311">
        <f>'d3'!J61-'d3-10'!J60</f>
        <v>0</v>
      </c>
      <c r="K61" s="311">
        <f>'d3'!K61-'d3-10'!K60</f>
        <v>0</v>
      </c>
      <c r="L61" s="311">
        <f>'d3'!L61-'d3-10'!L60</f>
        <v>0</v>
      </c>
      <c r="M61" s="311">
        <f>'d3'!M61-'d3-10'!M60</f>
        <v>0</v>
      </c>
      <c r="N61" s="311">
        <f>'d3'!N61-'d3-10'!N60</f>
        <v>0</v>
      </c>
      <c r="O61" s="311">
        <f>'d3'!O61-'d3-10'!O60</f>
        <v>0</v>
      </c>
      <c r="P61" s="311">
        <f>'d3'!P61-'d3-10'!P60</f>
        <v>-45000</v>
      </c>
    </row>
    <row r="62" spans="1:16" s="118" customFormat="1" ht="183" x14ac:dyDescent="0.2">
      <c r="A62" s="442" t="s">
        <v>406</v>
      </c>
      <c r="B62" s="442" t="s">
        <v>407</v>
      </c>
      <c r="C62" s="442" t="s">
        <v>297</v>
      </c>
      <c r="D62" s="441" t="s">
        <v>17</v>
      </c>
      <c r="E62" s="311">
        <f>'d3'!E62-'d3-10'!E61</f>
        <v>0</v>
      </c>
      <c r="F62" s="311">
        <f>'d3'!F62-'d3-10'!F61</f>
        <v>0</v>
      </c>
      <c r="G62" s="311">
        <f>'d3'!G62-'d3-10'!G61</f>
        <v>0</v>
      </c>
      <c r="H62" s="311">
        <f>'d3'!H62-'d3-10'!H61</f>
        <v>0</v>
      </c>
      <c r="I62" s="311">
        <f>'d3'!I62-'d3-10'!I61</f>
        <v>0</v>
      </c>
      <c r="J62" s="311">
        <f>'d3'!J62-'d3-10'!J61</f>
        <v>0</v>
      </c>
      <c r="K62" s="311">
        <f>'d3'!K62-'d3-10'!K61</f>
        <v>0</v>
      </c>
      <c r="L62" s="311">
        <f>'d3'!L62-'d3-10'!L61</f>
        <v>0</v>
      </c>
      <c r="M62" s="311">
        <f>'d3'!M62-'d3-10'!M61</f>
        <v>0</v>
      </c>
      <c r="N62" s="311">
        <f>'d3'!N62-'d3-10'!N61</f>
        <v>0</v>
      </c>
      <c r="O62" s="311">
        <f>'d3'!O62-'d3-10'!O61</f>
        <v>0</v>
      </c>
      <c r="P62" s="311">
        <f>'d3'!P62-'d3-10'!P61</f>
        <v>0</v>
      </c>
    </row>
    <row r="63" spans="1:16" s="118" customFormat="1" ht="183" x14ac:dyDescent="0.2">
      <c r="A63" s="441" t="s">
        <v>408</v>
      </c>
      <c r="B63" s="441" t="s">
        <v>405</v>
      </c>
      <c r="C63" s="441" t="s">
        <v>297</v>
      </c>
      <c r="D63" s="441" t="s">
        <v>18</v>
      </c>
      <c r="E63" s="311">
        <f>'d3'!E63-'d3-10'!E62</f>
        <v>0</v>
      </c>
      <c r="F63" s="311">
        <f>'d3'!F63-'d3-10'!F62</f>
        <v>0</v>
      </c>
      <c r="G63" s="311">
        <f>'d3'!G63-'d3-10'!G62</f>
        <v>0</v>
      </c>
      <c r="H63" s="311">
        <f>'d3'!H63-'d3-10'!H62</f>
        <v>0</v>
      </c>
      <c r="I63" s="311">
        <f>'d3'!I63-'d3-10'!I62</f>
        <v>0</v>
      </c>
      <c r="J63" s="311">
        <f>'d3'!J63-'d3-10'!J62</f>
        <v>0</v>
      </c>
      <c r="K63" s="311">
        <f>'d3'!K63-'d3-10'!K62</f>
        <v>0</v>
      </c>
      <c r="L63" s="311">
        <f>'d3'!L63-'d3-10'!L62</f>
        <v>0</v>
      </c>
      <c r="M63" s="311">
        <f>'d3'!M63-'d3-10'!M62</f>
        <v>0</v>
      </c>
      <c r="N63" s="311">
        <f>'d3'!N63-'d3-10'!N62</f>
        <v>0</v>
      </c>
      <c r="O63" s="311">
        <f>'d3'!O63-'d3-10'!O62</f>
        <v>0</v>
      </c>
      <c r="P63" s="311">
        <f>'d3'!P63-'d3-10'!P62</f>
        <v>0</v>
      </c>
    </row>
    <row r="64" spans="1:16" s="118" customFormat="1" ht="183" x14ac:dyDescent="0.2">
      <c r="A64" s="441" t="s">
        <v>409</v>
      </c>
      <c r="B64" s="441" t="s">
        <v>410</v>
      </c>
      <c r="C64" s="441" t="s">
        <v>297</v>
      </c>
      <c r="D64" s="441" t="s">
        <v>21</v>
      </c>
      <c r="E64" s="311">
        <f>'d3'!E64-'d3-10'!E63</f>
        <v>2460181</v>
      </c>
      <c r="F64" s="311">
        <f>'d3'!F64-'d3-10'!F63</f>
        <v>2460181</v>
      </c>
      <c r="G64" s="311">
        <f>'d3'!G64-'d3-10'!G63</f>
        <v>0</v>
      </c>
      <c r="H64" s="311">
        <f>'d3'!H64-'d3-10'!H63</f>
        <v>0</v>
      </c>
      <c r="I64" s="311">
        <f>'d3'!I64-'d3-10'!I63</f>
        <v>0</v>
      </c>
      <c r="J64" s="311">
        <f>'d3'!J64-'d3-10'!J63</f>
        <v>0</v>
      </c>
      <c r="K64" s="311">
        <f>'d3'!K64-'d3-10'!K63</f>
        <v>0</v>
      </c>
      <c r="L64" s="311">
        <f>'d3'!L64-'d3-10'!L63</f>
        <v>0</v>
      </c>
      <c r="M64" s="311">
        <f>'d3'!M64-'d3-10'!M63</f>
        <v>0</v>
      </c>
      <c r="N64" s="311">
        <f>'d3'!N64-'d3-10'!N63</f>
        <v>0</v>
      </c>
      <c r="O64" s="311">
        <f>'d3'!O64-'d3-10'!O63</f>
        <v>0</v>
      </c>
      <c r="P64" s="311">
        <f>'d3'!P64-'d3-10'!P63</f>
        <v>2460181</v>
      </c>
    </row>
    <row r="65" spans="1:16" s="118" customFormat="1" ht="91.5" x14ac:dyDescent="0.2">
      <c r="A65" s="442" t="s">
        <v>360</v>
      </c>
      <c r="B65" s="442" t="s">
        <v>352</v>
      </c>
      <c r="C65" s="442" t="s">
        <v>273</v>
      </c>
      <c r="D65" s="442" t="s">
        <v>10</v>
      </c>
      <c r="E65" s="311">
        <f>'d3'!E65-'d3-10'!E64</f>
        <v>0</v>
      </c>
      <c r="F65" s="311">
        <f>'d3'!F65-'d3-10'!F64</f>
        <v>0</v>
      </c>
      <c r="G65" s="311">
        <f>'d3'!G65-'d3-10'!G64</f>
        <v>0</v>
      </c>
      <c r="H65" s="311">
        <f>'d3'!H65-'d3-10'!H64</f>
        <v>0</v>
      </c>
      <c r="I65" s="311">
        <f>'d3'!I65-'d3-10'!I64</f>
        <v>0</v>
      </c>
      <c r="J65" s="311">
        <f>'d3'!J65-'d3-10'!J64</f>
        <v>0</v>
      </c>
      <c r="K65" s="311">
        <f>'d3'!K65-'d3-10'!K64</f>
        <v>0</v>
      </c>
      <c r="L65" s="311">
        <f>'d3'!L65-'d3-10'!L64</f>
        <v>0</v>
      </c>
      <c r="M65" s="311">
        <f>'d3'!M65-'d3-10'!M64</f>
        <v>0</v>
      </c>
      <c r="N65" s="311">
        <f>'d3'!N65-'d3-10'!N64</f>
        <v>0</v>
      </c>
      <c r="O65" s="311">
        <f>'d3'!O65-'d3-10'!O64</f>
        <v>0</v>
      </c>
      <c r="P65" s="311">
        <f>'d3'!P65-'d3-10'!P64</f>
        <v>0</v>
      </c>
    </row>
    <row r="66" spans="1:16" s="118" customFormat="1" ht="91.5" x14ac:dyDescent="0.2">
      <c r="A66" s="442" t="s">
        <v>361</v>
      </c>
      <c r="B66" s="442" t="s">
        <v>353</v>
      </c>
      <c r="C66" s="442" t="s">
        <v>273</v>
      </c>
      <c r="D66" s="442" t="s">
        <v>359</v>
      </c>
      <c r="E66" s="311">
        <f>'d3'!E66-'d3-10'!E65</f>
        <v>0</v>
      </c>
      <c r="F66" s="311">
        <f>'d3'!F66-'d3-10'!F65</f>
        <v>0</v>
      </c>
      <c r="G66" s="311">
        <f>'d3'!G66-'d3-10'!G65</f>
        <v>0</v>
      </c>
      <c r="H66" s="311">
        <f>'d3'!H66-'d3-10'!H65</f>
        <v>0</v>
      </c>
      <c r="I66" s="311">
        <f>'d3'!I66-'d3-10'!I65</f>
        <v>0</v>
      </c>
      <c r="J66" s="311">
        <f>'d3'!J66-'d3-10'!J65</f>
        <v>0</v>
      </c>
      <c r="K66" s="311">
        <f>'d3'!K66-'d3-10'!K65</f>
        <v>0</v>
      </c>
      <c r="L66" s="311">
        <f>'d3'!L66-'d3-10'!L65</f>
        <v>0</v>
      </c>
      <c r="M66" s="311">
        <f>'d3'!M66-'d3-10'!M65</f>
        <v>0</v>
      </c>
      <c r="N66" s="311">
        <f>'d3'!N66-'d3-10'!N65</f>
        <v>0</v>
      </c>
      <c r="O66" s="311">
        <f>'d3'!O66-'d3-10'!O65</f>
        <v>0</v>
      </c>
      <c r="P66" s="311">
        <f>'d3'!P66-'d3-10'!P65</f>
        <v>0</v>
      </c>
    </row>
    <row r="67" spans="1:16" s="118" customFormat="1" ht="91.5" x14ac:dyDescent="0.2">
      <c r="A67" s="442" t="s">
        <v>362</v>
      </c>
      <c r="B67" s="442" t="s">
        <v>354</v>
      </c>
      <c r="C67" s="442" t="s">
        <v>273</v>
      </c>
      <c r="D67" s="442" t="s">
        <v>11</v>
      </c>
      <c r="E67" s="311">
        <f>'d3'!E67-'d3-10'!E66</f>
        <v>0</v>
      </c>
      <c r="F67" s="311">
        <f>'d3'!F67-'d3-10'!F66</f>
        <v>0</v>
      </c>
      <c r="G67" s="311">
        <f>'d3'!G67-'d3-10'!G66</f>
        <v>0</v>
      </c>
      <c r="H67" s="311">
        <f>'d3'!H67-'d3-10'!H66</f>
        <v>0</v>
      </c>
      <c r="I67" s="311">
        <f>'d3'!I67-'d3-10'!I66</f>
        <v>0</v>
      </c>
      <c r="J67" s="311">
        <f>'d3'!J67-'d3-10'!J66</f>
        <v>0</v>
      </c>
      <c r="K67" s="311">
        <f>'d3'!K67-'d3-10'!K66</f>
        <v>0</v>
      </c>
      <c r="L67" s="311">
        <f>'d3'!L67-'d3-10'!L66</f>
        <v>0</v>
      </c>
      <c r="M67" s="311">
        <f>'d3'!M67-'d3-10'!M66</f>
        <v>0</v>
      </c>
      <c r="N67" s="311">
        <f>'d3'!N67-'d3-10'!N66</f>
        <v>0</v>
      </c>
      <c r="O67" s="311">
        <f>'d3'!O67-'d3-10'!O66</f>
        <v>0</v>
      </c>
      <c r="P67" s="311">
        <f>'d3'!P67-'d3-10'!P66</f>
        <v>0</v>
      </c>
    </row>
    <row r="68" spans="1:16" s="118" customFormat="1" ht="137.25" x14ac:dyDescent="0.2">
      <c r="A68" s="442" t="s">
        <v>363</v>
      </c>
      <c r="B68" s="442" t="s">
        <v>355</v>
      </c>
      <c r="C68" s="442" t="s">
        <v>273</v>
      </c>
      <c r="D68" s="442" t="s">
        <v>12</v>
      </c>
      <c r="E68" s="311">
        <f>'d3'!E68-'d3-10'!E67</f>
        <v>0</v>
      </c>
      <c r="F68" s="311">
        <f>'d3'!F68-'d3-10'!F67</f>
        <v>0</v>
      </c>
      <c r="G68" s="311">
        <f>'d3'!G68-'d3-10'!G67</f>
        <v>0</v>
      </c>
      <c r="H68" s="311">
        <f>'d3'!H68-'d3-10'!H67</f>
        <v>0</v>
      </c>
      <c r="I68" s="311">
        <f>'d3'!I68-'d3-10'!I67</f>
        <v>0</v>
      </c>
      <c r="J68" s="311">
        <f>'d3'!J68-'d3-10'!J67</f>
        <v>0</v>
      </c>
      <c r="K68" s="311">
        <f>'d3'!K68-'d3-10'!K67</f>
        <v>0</v>
      </c>
      <c r="L68" s="311">
        <f>'d3'!L68-'d3-10'!L67</f>
        <v>0</v>
      </c>
      <c r="M68" s="311">
        <f>'d3'!M68-'d3-10'!M67</f>
        <v>0</v>
      </c>
      <c r="N68" s="311">
        <f>'d3'!N68-'d3-10'!N67</f>
        <v>0</v>
      </c>
      <c r="O68" s="311">
        <f>'d3'!O68-'d3-10'!O67</f>
        <v>0</v>
      </c>
      <c r="P68" s="311">
        <f>'d3'!P68-'d3-10'!P67</f>
        <v>0</v>
      </c>
    </row>
    <row r="69" spans="1:16" s="118" customFormat="1" ht="91.5" x14ac:dyDescent="0.2">
      <c r="A69" s="442" t="s">
        <v>364</v>
      </c>
      <c r="B69" s="442" t="s">
        <v>356</v>
      </c>
      <c r="C69" s="442" t="s">
        <v>273</v>
      </c>
      <c r="D69" s="442" t="s">
        <v>13</v>
      </c>
      <c r="E69" s="311">
        <f>'d3'!E69-'d3-10'!E68</f>
        <v>0</v>
      </c>
      <c r="F69" s="311">
        <f>'d3'!F69-'d3-10'!F68</f>
        <v>0</v>
      </c>
      <c r="G69" s="311">
        <f>'d3'!G69-'d3-10'!G68</f>
        <v>0</v>
      </c>
      <c r="H69" s="311">
        <f>'d3'!H69-'d3-10'!H68</f>
        <v>0</v>
      </c>
      <c r="I69" s="311">
        <f>'d3'!I69-'d3-10'!I68</f>
        <v>0</v>
      </c>
      <c r="J69" s="311">
        <f>'d3'!J69-'d3-10'!J68</f>
        <v>0</v>
      </c>
      <c r="K69" s="311">
        <f>'d3'!K69-'d3-10'!K68</f>
        <v>0</v>
      </c>
      <c r="L69" s="311">
        <f>'d3'!L69-'d3-10'!L68</f>
        <v>0</v>
      </c>
      <c r="M69" s="311">
        <f>'d3'!M69-'d3-10'!M68</f>
        <v>0</v>
      </c>
      <c r="N69" s="311">
        <f>'d3'!N69-'d3-10'!N68</f>
        <v>0</v>
      </c>
      <c r="O69" s="311">
        <f>'d3'!O69-'d3-10'!O68</f>
        <v>0</v>
      </c>
      <c r="P69" s="311">
        <f>'d3'!P69-'d3-10'!P68</f>
        <v>0</v>
      </c>
    </row>
    <row r="70" spans="1:16" s="118" customFormat="1" ht="91.5" x14ac:dyDescent="0.2">
      <c r="A70" s="442" t="s">
        <v>365</v>
      </c>
      <c r="B70" s="442" t="s">
        <v>357</v>
      </c>
      <c r="C70" s="442" t="s">
        <v>273</v>
      </c>
      <c r="D70" s="442" t="s">
        <v>14</v>
      </c>
      <c r="E70" s="311">
        <f>'d3'!E70-'d3-10'!E69</f>
        <v>0</v>
      </c>
      <c r="F70" s="311">
        <f>'d3'!F70-'d3-10'!F69</f>
        <v>0</v>
      </c>
      <c r="G70" s="311">
        <f>'d3'!G70-'d3-10'!G69</f>
        <v>0</v>
      </c>
      <c r="H70" s="311">
        <f>'d3'!H70-'d3-10'!H69</f>
        <v>0</v>
      </c>
      <c r="I70" s="311">
        <f>'d3'!I70-'d3-10'!I69</f>
        <v>0</v>
      </c>
      <c r="J70" s="311">
        <f>'d3'!J70-'d3-10'!J69</f>
        <v>0</v>
      </c>
      <c r="K70" s="311">
        <f>'d3'!K70-'d3-10'!K69</f>
        <v>0</v>
      </c>
      <c r="L70" s="311">
        <f>'d3'!L70-'d3-10'!L69</f>
        <v>0</v>
      </c>
      <c r="M70" s="311">
        <f>'d3'!M70-'d3-10'!M69</f>
        <v>0</v>
      </c>
      <c r="N70" s="311">
        <f>'d3'!N70-'d3-10'!N69</f>
        <v>0</v>
      </c>
      <c r="O70" s="311">
        <f>'d3'!O70-'d3-10'!O69</f>
        <v>0</v>
      </c>
      <c r="P70" s="311">
        <f>'d3'!P70-'d3-10'!P69</f>
        <v>0</v>
      </c>
    </row>
    <row r="71" spans="1:16" s="118" customFormat="1" ht="137.25" x14ac:dyDescent="0.2">
      <c r="A71" s="442" t="s">
        <v>366</v>
      </c>
      <c r="B71" s="442" t="s">
        <v>358</v>
      </c>
      <c r="C71" s="442" t="s">
        <v>273</v>
      </c>
      <c r="D71" s="442" t="s">
        <v>15</v>
      </c>
      <c r="E71" s="311">
        <f>'d3'!E71-'d3-10'!E70</f>
        <v>0</v>
      </c>
      <c r="F71" s="311">
        <f>'d3'!F71-'d3-10'!F70</f>
        <v>0</v>
      </c>
      <c r="G71" s="311">
        <f>'d3'!G71-'d3-10'!G70</f>
        <v>0</v>
      </c>
      <c r="H71" s="311">
        <f>'d3'!H71-'d3-10'!H70</f>
        <v>0</v>
      </c>
      <c r="I71" s="311">
        <f>'d3'!I71-'d3-10'!I70</f>
        <v>0</v>
      </c>
      <c r="J71" s="311">
        <f>'d3'!J71-'d3-10'!J70</f>
        <v>0</v>
      </c>
      <c r="K71" s="311">
        <f>'d3'!K71-'d3-10'!K70</f>
        <v>0</v>
      </c>
      <c r="L71" s="311">
        <f>'d3'!L71-'d3-10'!L70</f>
        <v>0</v>
      </c>
      <c r="M71" s="311">
        <f>'d3'!M71-'d3-10'!M70</f>
        <v>0</v>
      </c>
      <c r="N71" s="311">
        <f>'d3'!N71-'d3-10'!N70</f>
        <v>0</v>
      </c>
      <c r="O71" s="311">
        <f>'d3'!O71-'d3-10'!O70</f>
        <v>0</v>
      </c>
      <c r="P71" s="311">
        <f>'d3'!P71-'d3-10'!P70</f>
        <v>0</v>
      </c>
    </row>
    <row r="72" spans="1:16" s="118" customFormat="1" ht="137.25" x14ac:dyDescent="0.2">
      <c r="A72" s="442" t="s">
        <v>883</v>
      </c>
      <c r="B72" s="442" t="s">
        <v>885</v>
      </c>
      <c r="C72" s="442" t="s">
        <v>273</v>
      </c>
      <c r="D72" s="442" t="s">
        <v>884</v>
      </c>
      <c r="E72" s="311">
        <f>'d3'!E72-'d3-10'!E71</f>
        <v>0</v>
      </c>
      <c r="F72" s="311">
        <f>'d3'!F72-'d3-10'!F71</f>
        <v>0</v>
      </c>
      <c r="G72" s="311">
        <f>'d3'!G72-'d3-10'!G71</f>
        <v>0</v>
      </c>
      <c r="H72" s="311">
        <f>'d3'!H72-'d3-10'!H71</f>
        <v>0</v>
      </c>
      <c r="I72" s="311">
        <f>'d3'!I72-'d3-10'!I71</f>
        <v>0</v>
      </c>
      <c r="J72" s="311">
        <f>'d3'!J72-'d3-10'!J71</f>
        <v>0</v>
      </c>
      <c r="K72" s="311">
        <f>'d3'!K72-'d3-10'!K71</f>
        <v>0</v>
      </c>
      <c r="L72" s="311">
        <f>'d3'!L72-'d3-10'!L71</f>
        <v>0</v>
      </c>
      <c r="M72" s="311">
        <f>'d3'!M72-'d3-10'!M71</f>
        <v>0</v>
      </c>
      <c r="N72" s="311">
        <f>'d3'!N72-'d3-10'!N71</f>
        <v>0</v>
      </c>
      <c r="O72" s="311">
        <f>'d3'!O72-'d3-10'!O71</f>
        <v>0</v>
      </c>
      <c r="P72" s="311">
        <f>'d3'!P72-'d3-10'!P71</f>
        <v>0</v>
      </c>
    </row>
    <row r="73" spans="1:16" ht="137.25" x14ac:dyDescent="0.2">
      <c r="A73" s="442" t="s">
        <v>376</v>
      </c>
      <c r="B73" s="442" t="s">
        <v>367</v>
      </c>
      <c r="C73" s="442" t="s">
        <v>297</v>
      </c>
      <c r="D73" s="442" t="s">
        <v>9</v>
      </c>
      <c r="E73" s="311">
        <f>'d3'!E73-'d3-10'!E72</f>
        <v>0</v>
      </c>
      <c r="F73" s="311">
        <f>'d3'!F73-'d3-10'!F72</f>
        <v>0</v>
      </c>
      <c r="G73" s="311">
        <f>'d3'!G73-'d3-10'!G72</f>
        <v>0</v>
      </c>
      <c r="H73" s="311">
        <f>'d3'!H73-'d3-10'!H72</f>
        <v>0</v>
      </c>
      <c r="I73" s="311">
        <f>'d3'!I73-'d3-10'!I72</f>
        <v>0</v>
      </c>
      <c r="J73" s="311">
        <f>'d3'!J73-'d3-10'!J72</f>
        <v>0</v>
      </c>
      <c r="K73" s="311">
        <f>'d3'!K73-'d3-10'!K72</f>
        <v>0</v>
      </c>
      <c r="L73" s="311">
        <f>'d3'!L73-'d3-10'!L72</f>
        <v>0</v>
      </c>
      <c r="M73" s="311">
        <f>'d3'!M73-'d3-10'!M72</f>
        <v>0</v>
      </c>
      <c r="N73" s="311">
        <f>'d3'!N73-'d3-10'!N72</f>
        <v>0</v>
      </c>
      <c r="O73" s="311">
        <f>'d3'!O73-'d3-10'!O72</f>
        <v>0</v>
      </c>
      <c r="P73" s="311">
        <f>'d3'!P73-'d3-10'!P72</f>
        <v>0</v>
      </c>
    </row>
    <row r="74" spans="1:16" s="118" customFormat="1" ht="137.25" x14ac:dyDescent="0.2">
      <c r="A74" s="442" t="s">
        <v>543</v>
      </c>
      <c r="B74" s="442" t="s">
        <v>544</v>
      </c>
      <c r="C74" s="442" t="s">
        <v>289</v>
      </c>
      <c r="D74" s="442" t="s">
        <v>542</v>
      </c>
      <c r="E74" s="311">
        <f>'d3'!E74-'d3-10'!E73</f>
        <v>0</v>
      </c>
      <c r="F74" s="311">
        <f>'d3'!F74-'d3-10'!F73</f>
        <v>0</v>
      </c>
      <c r="G74" s="311">
        <f>'d3'!G74-'d3-10'!G73</f>
        <v>0</v>
      </c>
      <c r="H74" s="311">
        <f>'d3'!H74-'d3-10'!H73</f>
        <v>0</v>
      </c>
      <c r="I74" s="311">
        <f>'d3'!I74-'d3-10'!I73</f>
        <v>0</v>
      </c>
      <c r="J74" s="311">
        <f>'d3'!J74-'d3-10'!J73</f>
        <v>0</v>
      </c>
      <c r="K74" s="311">
        <f>'d3'!K74-'d3-10'!K73</f>
        <v>0</v>
      </c>
      <c r="L74" s="311">
        <f>'d3'!L74-'d3-10'!L73</f>
        <v>0</v>
      </c>
      <c r="M74" s="311">
        <f>'d3'!M74-'d3-10'!M73</f>
        <v>0</v>
      </c>
      <c r="N74" s="311">
        <f>'d3'!N74-'d3-10'!N73</f>
        <v>0</v>
      </c>
      <c r="O74" s="311">
        <f>'d3'!O74-'d3-10'!O73</f>
        <v>0</v>
      </c>
      <c r="P74" s="311">
        <f>'d3'!P74-'d3-10'!P73</f>
        <v>0</v>
      </c>
    </row>
    <row r="75" spans="1:16" s="118" customFormat="1" ht="228.75" x14ac:dyDescent="0.2">
      <c r="A75" s="442" t="s">
        <v>600</v>
      </c>
      <c r="B75" s="442" t="s">
        <v>601</v>
      </c>
      <c r="C75" s="442" t="s">
        <v>289</v>
      </c>
      <c r="D75" s="442" t="s">
        <v>602</v>
      </c>
      <c r="E75" s="311">
        <f>'d3'!E75-'d3-10'!E74</f>
        <v>0</v>
      </c>
      <c r="F75" s="311">
        <f>'d3'!F75-'d3-10'!F74</f>
        <v>0</v>
      </c>
      <c r="G75" s="311">
        <f>'d3'!G75-'d3-10'!G74</f>
        <v>0</v>
      </c>
      <c r="H75" s="311">
        <f>'d3'!H75-'d3-10'!H74</f>
        <v>0</v>
      </c>
      <c r="I75" s="311">
        <f>'d3'!I75-'d3-10'!I74</f>
        <v>0</v>
      </c>
      <c r="J75" s="311">
        <f>'d3'!J75-'d3-10'!J74</f>
        <v>0</v>
      </c>
      <c r="K75" s="311">
        <f>'d3'!K75-'d3-10'!K74</f>
        <v>0</v>
      </c>
      <c r="L75" s="311">
        <f>'d3'!L75-'d3-10'!L74</f>
        <v>0</v>
      </c>
      <c r="M75" s="311">
        <f>'d3'!M75-'d3-10'!M74</f>
        <v>0</v>
      </c>
      <c r="N75" s="311">
        <f>'d3'!N75-'d3-10'!N74</f>
        <v>0</v>
      </c>
      <c r="O75" s="311">
        <f>'d3'!O75-'d3-10'!O74</f>
        <v>0</v>
      </c>
      <c r="P75" s="311">
        <f>'d3'!P75-'d3-10'!P74</f>
        <v>0</v>
      </c>
    </row>
    <row r="76" spans="1:16" s="118" customFormat="1" ht="183" x14ac:dyDescent="0.2">
      <c r="A76" s="442" t="s">
        <v>540</v>
      </c>
      <c r="B76" s="442" t="s">
        <v>541</v>
      </c>
      <c r="C76" s="442" t="s">
        <v>289</v>
      </c>
      <c r="D76" s="442" t="s">
        <v>499</v>
      </c>
      <c r="E76" s="311">
        <f>'d3'!E76-'d3-10'!E75</f>
        <v>0</v>
      </c>
      <c r="F76" s="311">
        <f>'d3'!F76-'d3-10'!F75</f>
        <v>0</v>
      </c>
      <c r="G76" s="311">
        <f>'d3'!G76-'d3-10'!G75</f>
        <v>0</v>
      </c>
      <c r="H76" s="311">
        <f>'d3'!H76-'d3-10'!H75</f>
        <v>0</v>
      </c>
      <c r="I76" s="311">
        <f>'d3'!I76-'d3-10'!I75</f>
        <v>0</v>
      </c>
      <c r="J76" s="311">
        <f>'d3'!J76-'d3-10'!J75</f>
        <v>0</v>
      </c>
      <c r="K76" s="311">
        <f>'d3'!K76-'d3-10'!K75</f>
        <v>0</v>
      </c>
      <c r="L76" s="311">
        <f>'d3'!L76-'d3-10'!L75</f>
        <v>0</v>
      </c>
      <c r="M76" s="311">
        <f>'d3'!M76-'d3-10'!M75</f>
        <v>0</v>
      </c>
      <c r="N76" s="311">
        <f>'d3'!N76-'d3-10'!N75</f>
        <v>0</v>
      </c>
      <c r="O76" s="311">
        <f>'d3'!O76-'d3-10'!O75</f>
        <v>0</v>
      </c>
      <c r="P76" s="311">
        <f>'d3'!P76-'d3-10'!P75</f>
        <v>0</v>
      </c>
    </row>
    <row r="77" spans="1:16" s="118" customFormat="1" ht="228.75" x14ac:dyDescent="0.2">
      <c r="A77" s="442" t="s">
        <v>547</v>
      </c>
      <c r="B77" s="442" t="s">
        <v>548</v>
      </c>
      <c r="C77" s="442" t="s">
        <v>273</v>
      </c>
      <c r="D77" s="442" t="s">
        <v>549</v>
      </c>
      <c r="E77" s="311">
        <f>'d3'!E77-'d3-10'!E76</f>
        <v>0</v>
      </c>
      <c r="F77" s="311">
        <f>'d3'!F77-'d3-10'!F76</f>
        <v>0</v>
      </c>
      <c r="G77" s="311">
        <f>'d3'!G77-'d3-10'!G76</f>
        <v>0</v>
      </c>
      <c r="H77" s="311">
        <f>'d3'!H77-'d3-10'!H76</f>
        <v>0</v>
      </c>
      <c r="I77" s="311">
        <f>'d3'!I77-'d3-10'!I76</f>
        <v>0</v>
      </c>
      <c r="J77" s="311">
        <f>'d3'!J77-'d3-10'!J76</f>
        <v>0</v>
      </c>
      <c r="K77" s="311">
        <f>'d3'!K77-'d3-10'!K76</f>
        <v>0</v>
      </c>
      <c r="L77" s="311">
        <f>'d3'!L77-'d3-10'!L76</f>
        <v>0</v>
      </c>
      <c r="M77" s="311">
        <f>'d3'!M77-'d3-10'!M76</f>
        <v>0</v>
      </c>
      <c r="N77" s="311">
        <f>'d3'!N77-'d3-10'!N76</f>
        <v>0</v>
      </c>
      <c r="O77" s="311">
        <f>'d3'!O77-'d3-10'!O76</f>
        <v>0</v>
      </c>
      <c r="P77" s="311">
        <f>'d3'!P77-'d3-10'!P76</f>
        <v>0</v>
      </c>
    </row>
    <row r="78" spans="1:16" s="118" customFormat="1" ht="320.25" x14ac:dyDescent="0.2">
      <c r="A78" s="442" t="s">
        <v>545</v>
      </c>
      <c r="B78" s="442" t="s">
        <v>546</v>
      </c>
      <c r="C78" s="442" t="s">
        <v>289</v>
      </c>
      <c r="D78" s="442" t="s">
        <v>550</v>
      </c>
      <c r="E78" s="311">
        <f>'d3'!E78-'d3-10'!E77</f>
        <v>0</v>
      </c>
      <c r="F78" s="311">
        <f>'d3'!F78-'d3-10'!F77</f>
        <v>0</v>
      </c>
      <c r="G78" s="311">
        <f>'d3'!G78-'d3-10'!G77</f>
        <v>0</v>
      </c>
      <c r="H78" s="311">
        <f>'d3'!H78-'d3-10'!H77</f>
        <v>0</v>
      </c>
      <c r="I78" s="311">
        <f>'d3'!I78-'d3-10'!I77</f>
        <v>0</v>
      </c>
      <c r="J78" s="311">
        <f>'d3'!J78-'d3-10'!J77</f>
        <v>0</v>
      </c>
      <c r="K78" s="311">
        <f>'d3'!K78-'d3-10'!K77</f>
        <v>0</v>
      </c>
      <c r="L78" s="311">
        <f>'d3'!L78-'d3-10'!L77</f>
        <v>0</v>
      </c>
      <c r="M78" s="311">
        <f>'d3'!M78-'d3-10'!M77</f>
        <v>0</v>
      </c>
      <c r="N78" s="311">
        <f>'d3'!N78-'d3-10'!N77</f>
        <v>0</v>
      </c>
      <c r="O78" s="311">
        <f>'d3'!O78-'d3-10'!O77</f>
        <v>0</v>
      </c>
      <c r="P78" s="311">
        <f>'d3'!P78-'d3-10'!P77</f>
        <v>0</v>
      </c>
    </row>
    <row r="79" spans="1:16" s="118" customFormat="1" ht="364.7" customHeight="1" x14ac:dyDescent="0.65">
      <c r="A79" s="476" t="s">
        <v>870</v>
      </c>
      <c r="B79" s="476" t="s">
        <v>871</v>
      </c>
      <c r="C79" s="476" t="s">
        <v>273</v>
      </c>
      <c r="D79" s="273" t="s">
        <v>872</v>
      </c>
      <c r="E79" s="491">
        <f>'d3'!E79-'d3-10'!E78</f>
        <v>0</v>
      </c>
      <c r="F79" s="491">
        <f>'d3'!F79-'d3-10'!F78</f>
        <v>0</v>
      </c>
      <c r="G79" s="491">
        <f>'d3'!G79-'d3-10'!G78</f>
        <v>0</v>
      </c>
      <c r="H79" s="491">
        <f>'d3'!H79-'d3-10'!H78</f>
        <v>0</v>
      </c>
      <c r="I79" s="491">
        <f>'d3'!I79-'d3-10'!I78</f>
        <v>0</v>
      </c>
      <c r="J79" s="491">
        <f>'d3'!J79-'d3-10'!J78</f>
        <v>0</v>
      </c>
      <c r="K79" s="491">
        <f>'d3'!K79-'d3-10'!K78</f>
        <v>0</v>
      </c>
      <c r="L79" s="491">
        <f>'d3'!L79-'d3-10'!L78</f>
        <v>0</v>
      </c>
      <c r="M79" s="491">
        <f>'d3'!M79-'d3-10'!M78</f>
        <v>0</v>
      </c>
      <c r="N79" s="491">
        <f>'d3'!N79-'d3-10'!N78</f>
        <v>0</v>
      </c>
      <c r="O79" s="491">
        <f>'d3'!O79-'d3-10'!O78</f>
        <v>0</v>
      </c>
      <c r="P79" s="491">
        <f>'d3'!P79-'d3-10'!P78</f>
        <v>0</v>
      </c>
    </row>
    <row r="80" spans="1:16" s="118" customFormat="1" ht="334.5" customHeight="1" x14ac:dyDescent="0.2">
      <c r="A80" s="477"/>
      <c r="B80" s="477"/>
      <c r="C80" s="477"/>
      <c r="D80" s="274" t="s">
        <v>873</v>
      </c>
      <c r="E80" s="469"/>
      <c r="F80" s="469"/>
      <c r="G80" s="469"/>
      <c r="H80" s="469"/>
      <c r="I80" s="469"/>
      <c r="J80" s="469"/>
      <c r="K80" s="469"/>
      <c r="L80" s="469"/>
      <c r="M80" s="469"/>
      <c r="N80" s="469"/>
      <c r="O80" s="469"/>
      <c r="P80" s="469"/>
    </row>
    <row r="81" spans="1:16" s="118" customFormat="1" ht="91.5" x14ac:dyDescent="0.2">
      <c r="A81" s="442" t="s">
        <v>904</v>
      </c>
      <c r="B81" s="442" t="s">
        <v>905</v>
      </c>
      <c r="C81" s="442" t="s">
        <v>273</v>
      </c>
      <c r="D81" s="442" t="s">
        <v>906</v>
      </c>
      <c r="E81" s="311">
        <f>'d3'!E81-'d3-10'!E80</f>
        <v>0</v>
      </c>
      <c r="F81" s="311">
        <f>'d3'!F81-'d3-10'!F80</f>
        <v>0</v>
      </c>
      <c r="G81" s="311">
        <f>'d3'!G81-'d3-10'!G80</f>
        <v>0</v>
      </c>
      <c r="H81" s="311">
        <f>'d3'!H81-'d3-10'!H80</f>
        <v>0</v>
      </c>
      <c r="I81" s="311">
        <f>'d3'!I81-'d3-10'!I80</f>
        <v>0</v>
      </c>
      <c r="J81" s="311">
        <f>'d3'!J81-'d3-10'!J80</f>
        <v>0</v>
      </c>
      <c r="K81" s="311">
        <f>'d3'!K81-'d3-10'!K80</f>
        <v>0</v>
      </c>
      <c r="L81" s="311">
        <f>'d3'!L81-'d3-10'!L80</f>
        <v>0</v>
      </c>
      <c r="M81" s="311">
        <f>'d3'!M81-'d3-10'!M80</f>
        <v>0</v>
      </c>
      <c r="N81" s="311">
        <f>'d3'!N81-'d3-10'!N80</f>
        <v>0</v>
      </c>
      <c r="O81" s="311">
        <f>'d3'!O81-'d3-10'!O80</f>
        <v>0</v>
      </c>
      <c r="P81" s="311">
        <f>'d3'!P81-'d3-10'!P80</f>
        <v>0</v>
      </c>
    </row>
    <row r="82" spans="1:16" ht="163.5" customHeight="1" x14ac:dyDescent="0.2">
      <c r="A82" s="442" t="s">
        <v>377</v>
      </c>
      <c r="B82" s="442" t="s">
        <v>368</v>
      </c>
      <c r="C82" s="442" t="s">
        <v>296</v>
      </c>
      <c r="D82" s="442" t="s">
        <v>500</v>
      </c>
      <c r="E82" s="311">
        <f>'d3'!E82-'d3-10'!E81</f>
        <v>-34434</v>
      </c>
      <c r="F82" s="311">
        <f>'d3'!F82-'d3-10'!F81</f>
        <v>-34434</v>
      </c>
      <c r="G82" s="311">
        <f>'d3'!G82-'d3-10'!G81</f>
        <v>0</v>
      </c>
      <c r="H82" s="311">
        <f>'d3'!H82-'d3-10'!H81</f>
        <v>0</v>
      </c>
      <c r="I82" s="311">
        <f>'d3'!I82-'d3-10'!I81</f>
        <v>0</v>
      </c>
      <c r="J82" s="311">
        <f>'d3'!J82-'d3-10'!J81</f>
        <v>0</v>
      </c>
      <c r="K82" s="311">
        <f>'d3'!K82-'d3-10'!K81</f>
        <v>0</v>
      </c>
      <c r="L82" s="311">
        <f>'d3'!L82-'d3-10'!L81</f>
        <v>0</v>
      </c>
      <c r="M82" s="311">
        <f>'d3'!M82-'d3-10'!M81</f>
        <v>0</v>
      </c>
      <c r="N82" s="311">
        <f>'d3'!N82-'d3-10'!N81</f>
        <v>0</v>
      </c>
      <c r="O82" s="311">
        <f>'d3'!O82-'d3-10'!O81</f>
        <v>0</v>
      </c>
      <c r="P82" s="311">
        <f>'d3'!P82-'d3-10'!P81</f>
        <v>-34434</v>
      </c>
    </row>
    <row r="83" spans="1:16" ht="301.7" customHeight="1" x14ac:dyDescent="0.2">
      <c r="A83" s="442" t="s">
        <v>398</v>
      </c>
      <c r="B83" s="442" t="s">
        <v>396</v>
      </c>
      <c r="C83" s="442" t="s">
        <v>290</v>
      </c>
      <c r="D83" s="442" t="s">
        <v>35</v>
      </c>
      <c r="E83" s="311">
        <f>'d3'!E83-'d3-10'!E82</f>
        <v>-32800</v>
      </c>
      <c r="F83" s="311">
        <f>'d3'!F83-'d3-10'!F82</f>
        <v>-32800</v>
      </c>
      <c r="G83" s="311">
        <f>'d3'!G83-'d3-10'!G82</f>
        <v>36000</v>
      </c>
      <c r="H83" s="311">
        <f>'d3'!H83-'d3-10'!H82</f>
        <v>-25000</v>
      </c>
      <c r="I83" s="311">
        <f>'d3'!I83-'d3-10'!I82</f>
        <v>0</v>
      </c>
      <c r="J83" s="311">
        <f>'d3'!J83-'d3-10'!J82</f>
        <v>0</v>
      </c>
      <c r="K83" s="311">
        <f>'d3'!K83-'d3-10'!K82</f>
        <v>0</v>
      </c>
      <c r="L83" s="311">
        <f>'d3'!L83-'d3-10'!L82</f>
        <v>0</v>
      </c>
      <c r="M83" s="311">
        <f>'d3'!M83-'d3-10'!M82</f>
        <v>0</v>
      </c>
      <c r="N83" s="311">
        <f>'d3'!N83-'d3-10'!N82</f>
        <v>0</v>
      </c>
      <c r="O83" s="311">
        <f>'d3'!O83-'d3-10'!O82</f>
        <v>0</v>
      </c>
      <c r="P83" s="311">
        <f>'d3'!P83-'d3-10'!P82</f>
        <v>-32800</v>
      </c>
    </row>
    <row r="84" spans="1:16" ht="137.25" x14ac:dyDescent="0.2">
      <c r="A84" s="442" t="s">
        <v>399</v>
      </c>
      <c r="B84" s="442" t="s">
        <v>397</v>
      </c>
      <c r="C84" s="442" t="s">
        <v>289</v>
      </c>
      <c r="D84" s="442" t="s">
        <v>501</v>
      </c>
      <c r="E84" s="311">
        <f>'d3'!E84-'d3-10'!E83</f>
        <v>-102059</v>
      </c>
      <c r="F84" s="311">
        <f>'d3'!F84-'d3-10'!F83</f>
        <v>-102059</v>
      </c>
      <c r="G84" s="311">
        <f>'d3'!G84-'d3-10'!G83</f>
        <v>-68600</v>
      </c>
      <c r="H84" s="311">
        <f>'d3'!H84-'d3-10'!H83</f>
        <v>30941</v>
      </c>
      <c r="I84" s="311">
        <f>'d3'!I84-'d3-10'!I83</f>
        <v>0</v>
      </c>
      <c r="J84" s="311">
        <f>'d3'!J84-'d3-10'!J83</f>
        <v>0</v>
      </c>
      <c r="K84" s="311">
        <f>'d3'!K84-'d3-10'!K83</f>
        <v>0</v>
      </c>
      <c r="L84" s="311">
        <f>'d3'!L84-'d3-10'!L83</f>
        <v>0</v>
      </c>
      <c r="M84" s="311">
        <f>'d3'!M84-'d3-10'!M83</f>
        <v>0</v>
      </c>
      <c r="N84" s="311">
        <f>'d3'!N84-'d3-10'!N83</f>
        <v>0</v>
      </c>
      <c r="O84" s="311">
        <f>'d3'!O84-'d3-10'!O83</f>
        <v>0</v>
      </c>
      <c r="P84" s="311">
        <f>'d3'!P84-'d3-10'!P83</f>
        <v>-102059</v>
      </c>
    </row>
    <row r="85" spans="1:16" ht="366" x14ac:dyDescent="0.2">
      <c r="A85" s="442" t="s">
        <v>394</v>
      </c>
      <c r="B85" s="442" t="s">
        <v>395</v>
      </c>
      <c r="C85" s="442" t="s">
        <v>289</v>
      </c>
      <c r="D85" s="442" t="s">
        <v>502</v>
      </c>
      <c r="E85" s="311">
        <f>'d3'!E85-'d3-10'!E84</f>
        <v>-280000</v>
      </c>
      <c r="F85" s="311">
        <f>'d3'!F85-'d3-10'!F84</f>
        <v>-280000</v>
      </c>
      <c r="G85" s="311">
        <f>'d3'!G85-'d3-10'!G84</f>
        <v>0</v>
      </c>
      <c r="H85" s="311">
        <f>'d3'!H85-'d3-10'!H84</f>
        <v>0</v>
      </c>
      <c r="I85" s="311">
        <f>'d3'!I85-'d3-10'!I84</f>
        <v>0</v>
      </c>
      <c r="J85" s="311">
        <f>'d3'!J85-'d3-10'!J84</f>
        <v>0</v>
      </c>
      <c r="K85" s="311">
        <f>'d3'!K85-'d3-10'!K84</f>
        <v>0</v>
      </c>
      <c r="L85" s="311">
        <f>'d3'!L85-'d3-10'!L84</f>
        <v>0</v>
      </c>
      <c r="M85" s="311">
        <f>'d3'!M85-'d3-10'!M84</f>
        <v>0</v>
      </c>
      <c r="N85" s="311">
        <f>'d3'!N85-'d3-10'!N84</f>
        <v>0</v>
      </c>
      <c r="O85" s="311">
        <f>'d3'!O85-'d3-10'!O84</f>
        <v>0</v>
      </c>
      <c r="P85" s="311">
        <f>'d3'!P85-'d3-10'!P84</f>
        <v>-280000</v>
      </c>
    </row>
    <row r="86" spans="1:16" ht="228.75" x14ac:dyDescent="0.2">
      <c r="A86" s="442" t="s">
        <v>503</v>
      </c>
      <c r="B86" s="442" t="s">
        <v>504</v>
      </c>
      <c r="C86" s="442" t="s">
        <v>289</v>
      </c>
      <c r="D86" s="442" t="s">
        <v>551</v>
      </c>
      <c r="E86" s="311">
        <f>'d3'!E86-'d3-10'!E85</f>
        <v>0</v>
      </c>
      <c r="F86" s="311">
        <f>'d3'!F86-'d3-10'!F85</f>
        <v>0</v>
      </c>
      <c r="G86" s="311">
        <f>'d3'!G86-'d3-10'!G85</f>
        <v>0</v>
      </c>
      <c r="H86" s="311">
        <f>'d3'!H86-'d3-10'!H85</f>
        <v>0</v>
      </c>
      <c r="I86" s="311">
        <f>'d3'!I86-'d3-10'!I85</f>
        <v>0</v>
      </c>
      <c r="J86" s="311">
        <f>'d3'!J86-'d3-10'!J85</f>
        <v>0</v>
      </c>
      <c r="K86" s="311">
        <f>'d3'!K86-'d3-10'!K85</f>
        <v>0</v>
      </c>
      <c r="L86" s="311">
        <f>'d3'!L86-'d3-10'!L85</f>
        <v>0</v>
      </c>
      <c r="M86" s="311">
        <f>'d3'!M86-'d3-10'!M85</f>
        <v>0</v>
      </c>
      <c r="N86" s="311">
        <f>'d3'!N86-'d3-10'!N85</f>
        <v>0</v>
      </c>
      <c r="O86" s="311">
        <f>'d3'!O86-'d3-10'!O85</f>
        <v>0</v>
      </c>
      <c r="P86" s="311">
        <f>'d3'!P86-'d3-10'!P85</f>
        <v>0</v>
      </c>
    </row>
    <row r="87" spans="1:16" ht="112.7" customHeight="1" x14ac:dyDescent="0.2">
      <c r="A87" s="442" t="s">
        <v>505</v>
      </c>
      <c r="B87" s="442" t="s">
        <v>506</v>
      </c>
      <c r="C87" s="442" t="s">
        <v>289</v>
      </c>
      <c r="D87" s="442" t="s">
        <v>552</v>
      </c>
      <c r="E87" s="311">
        <f>'d3'!E87-'d3-10'!E86</f>
        <v>0</v>
      </c>
      <c r="F87" s="311">
        <f>'d3'!F87-'d3-10'!F86</f>
        <v>0</v>
      </c>
      <c r="G87" s="311">
        <f>'d3'!G87-'d3-10'!G86</f>
        <v>0</v>
      </c>
      <c r="H87" s="311">
        <f>'d3'!H87-'d3-10'!H86</f>
        <v>0</v>
      </c>
      <c r="I87" s="311">
        <f>'d3'!I87-'d3-10'!I86</f>
        <v>0</v>
      </c>
      <c r="J87" s="311">
        <f>'d3'!J87-'d3-10'!J86</f>
        <v>0</v>
      </c>
      <c r="K87" s="311">
        <f>'d3'!K87-'d3-10'!K86</f>
        <v>0</v>
      </c>
      <c r="L87" s="311">
        <f>'d3'!L87-'d3-10'!L86</f>
        <v>0</v>
      </c>
      <c r="M87" s="311">
        <f>'d3'!M87-'d3-10'!M86</f>
        <v>0</v>
      </c>
      <c r="N87" s="311">
        <f>'d3'!N87-'d3-10'!N86</f>
        <v>0</v>
      </c>
      <c r="O87" s="311">
        <f>'d3'!O87-'d3-10'!O86</f>
        <v>0</v>
      </c>
      <c r="P87" s="311">
        <f>'d3'!P87-'d3-10'!P86</f>
        <v>0</v>
      </c>
    </row>
    <row r="88" spans="1:16" ht="320.25" x14ac:dyDescent="0.2">
      <c r="A88" s="442" t="s">
        <v>555</v>
      </c>
      <c r="B88" s="442" t="s">
        <v>554</v>
      </c>
      <c r="C88" s="442" t="s">
        <v>79</v>
      </c>
      <c r="D88" s="442" t="s">
        <v>553</v>
      </c>
      <c r="E88" s="311">
        <f>'d3'!E88-'d3-10'!E87</f>
        <v>0</v>
      </c>
      <c r="F88" s="311">
        <f>'d3'!F88-'d3-10'!F87</f>
        <v>0</v>
      </c>
      <c r="G88" s="311">
        <f>'d3'!G88-'d3-10'!G87</f>
        <v>0</v>
      </c>
      <c r="H88" s="311">
        <f>'d3'!H88-'d3-10'!H87</f>
        <v>0</v>
      </c>
      <c r="I88" s="311">
        <f>'d3'!I88-'d3-10'!I87</f>
        <v>0</v>
      </c>
      <c r="J88" s="311">
        <f>'d3'!J88-'d3-10'!J87</f>
        <v>0</v>
      </c>
      <c r="K88" s="311">
        <f>'d3'!K88-'d3-10'!K87</f>
        <v>0</v>
      </c>
      <c r="L88" s="311">
        <f>'d3'!L88-'d3-10'!L87</f>
        <v>0</v>
      </c>
      <c r="M88" s="311">
        <f>'d3'!M88-'d3-10'!M87</f>
        <v>0</v>
      </c>
      <c r="N88" s="311">
        <f>'d3'!N88-'d3-10'!N87</f>
        <v>0</v>
      </c>
      <c r="O88" s="311">
        <f>'d3'!O88-'d3-10'!O87</f>
        <v>0</v>
      </c>
      <c r="P88" s="311">
        <f>'d3'!P88-'d3-10'!P87</f>
        <v>0</v>
      </c>
    </row>
    <row r="89" spans="1:16" ht="228.75" x14ac:dyDescent="0.2">
      <c r="A89" s="442" t="s">
        <v>507</v>
      </c>
      <c r="B89" s="442" t="s">
        <v>508</v>
      </c>
      <c r="C89" s="442" t="s">
        <v>296</v>
      </c>
      <c r="D89" s="442" t="s">
        <v>556</v>
      </c>
      <c r="E89" s="311">
        <f>'d3'!E89-'d3-10'!E88</f>
        <v>0</v>
      </c>
      <c r="F89" s="311">
        <f>'d3'!F89-'d3-10'!F88</f>
        <v>0</v>
      </c>
      <c r="G89" s="311">
        <f>'d3'!G89-'d3-10'!G88</f>
        <v>0</v>
      </c>
      <c r="H89" s="311">
        <f>'d3'!H89-'d3-10'!H88</f>
        <v>0</v>
      </c>
      <c r="I89" s="311">
        <f>'d3'!I89-'d3-10'!I88</f>
        <v>0</v>
      </c>
      <c r="J89" s="311">
        <f>'d3'!J89-'d3-10'!J88</f>
        <v>0</v>
      </c>
      <c r="K89" s="311">
        <f>'d3'!K89-'d3-10'!K88</f>
        <v>0</v>
      </c>
      <c r="L89" s="311">
        <f>'d3'!L89-'d3-10'!L88</f>
        <v>0</v>
      </c>
      <c r="M89" s="311">
        <f>'d3'!M89-'d3-10'!M88</f>
        <v>0</v>
      </c>
      <c r="N89" s="311">
        <f>'d3'!N89-'d3-10'!N88</f>
        <v>0</v>
      </c>
      <c r="O89" s="311">
        <f>'d3'!O89-'d3-10'!O88</f>
        <v>0</v>
      </c>
      <c r="P89" s="311">
        <f>'d3'!P89-'d3-10'!P88</f>
        <v>0</v>
      </c>
    </row>
    <row r="90" spans="1:16" ht="91.5" x14ac:dyDescent="0.2">
      <c r="A90" s="442" t="s">
        <v>766</v>
      </c>
      <c r="B90" s="442" t="s">
        <v>616</v>
      </c>
      <c r="C90" s="442" t="s">
        <v>617</v>
      </c>
      <c r="D90" s="442" t="s">
        <v>615</v>
      </c>
      <c r="E90" s="311">
        <f>'d3'!E90-'d3-10'!E89</f>
        <v>0</v>
      </c>
      <c r="F90" s="311">
        <f>'d3'!F90-'d3-10'!F89</f>
        <v>0</v>
      </c>
      <c r="G90" s="311">
        <f>'d3'!G90-'d3-10'!G89</f>
        <v>0</v>
      </c>
      <c r="H90" s="311">
        <f>'d3'!H90-'d3-10'!H89</f>
        <v>0</v>
      </c>
      <c r="I90" s="311">
        <f>'d3'!I90-'d3-10'!I89</f>
        <v>0</v>
      </c>
      <c r="J90" s="311">
        <f>'d3'!J90-'d3-10'!J89</f>
        <v>0</v>
      </c>
      <c r="K90" s="311">
        <f>'d3'!K90-'d3-10'!K89</f>
        <v>0</v>
      </c>
      <c r="L90" s="311">
        <f>'d3'!L90-'d3-10'!L89</f>
        <v>0</v>
      </c>
      <c r="M90" s="311">
        <f>'d3'!M90-'d3-10'!M89</f>
        <v>0</v>
      </c>
      <c r="N90" s="311">
        <f>'d3'!N90-'d3-10'!N89</f>
        <v>0</v>
      </c>
      <c r="O90" s="311">
        <f>'d3'!O90-'d3-10'!O89</f>
        <v>0</v>
      </c>
      <c r="P90" s="311">
        <f>'d3'!P90-'d3-10'!P89</f>
        <v>0</v>
      </c>
    </row>
    <row r="91" spans="1:16" ht="409.5" x14ac:dyDescent="0.2">
      <c r="A91" s="476" t="s">
        <v>925</v>
      </c>
      <c r="B91" s="476" t="s">
        <v>926</v>
      </c>
      <c r="C91" s="476" t="s">
        <v>79</v>
      </c>
      <c r="D91" s="276" t="s">
        <v>927</v>
      </c>
      <c r="E91" s="491">
        <f>'d3'!E91-'d3-10'!E90</f>
        <v>0</v>
      </c>
      <c r="F91" s="491">
        <f>'d3'!F91-'d3-10'!F90</f>
        <v>0</v>
      </c>
      <c r="G91" s="491">
        <f>'d3'!G91-'d3-10'!G90</f>
        <v>0</v>
      </c>
      <c r="H91" s="491">
        <f>'d3'!H91-'d3-10'!H90</f>
        <v>0</v>
      </c>
      <c r="I91" s="491">
        <f>'d3'!I91-'d3-10'!I90</f>
        <v>0</v>
      </c>
      <c r="J91" s="491">
        <f>'d3'!J91-'d3-10'!J90</f>
        <v>0</v>
      </c>
      <c r="K91" s="491">
        <f>'d3'!K91-'d3-10'!K90</f>
        <v>0</v>
      </c>
      <c r="L91" s="491">
        <f>'d3'!L91-'d3-10'!L90</f>
        <v>0</v>
      </c>
      <c r="M91" s="491">
        <f>'d3'!M91-'d3-10'!M90</f>
        <v>0</v>
      </c>
      <c r="N91" s="491">
        <f>'d3'!N91-'d3-10'!N90</f>
        <v>0</v>
      </c>
      <c r="O91" s="491">
        <f>'d3'!O91-'d3-10'!O90</f>
        <v>0</v>
      </c>
      <c r="P91" s="491">
        <f>'d3'!P91-'d3-10'!P90</f>
        <v>0</v>
      </c>
    </row>
    <row r="92" spans="1:16" ht="409.5" x14ac:dyDescent="0.2">
      <c r="A92" s="492"/>
      <c r="B92" s="492"/>
      <c r="C92" s="492"/>
      <c r="D92" s="276" t="s">
        <v>928</v>
      </c>
      <c r="E92" s="589"/>
      <c r="F92" s="589"/>
      <c r="G92" s="589"/>
      <c r="H92" s="589"/>
      <c r="I92" s="589"/>
      <c r="J92" s="589"/>
      <c r="K92" s="589"/>
      <c r="L92" s="589"/>
      <c r="M92" s="589"/>
      <c r="N92" s="589"/>
      <c r="O92" s="589"/>
      <c r="P92" s="589"/>
    </row>
    <row r="93" spans="1:16" ht="409.5" x14ac:dyDescent="0.2">
      <c r="A93" s="477"/>
      <c r="B93" s="477"/>
      <c r="C93" s="477"/>
      <c r="D93" s="277" t="s">
        <v>929</v>
      </c>
      <c r="E93" s="469"/>
      <c r="F93" s="469"/>
      <c r="G93" s="469"/>
      <c r="H93" s="469"/>
      <c r="I93" s="469"/>
      <c r="J93" s="469"/>
      <c r="K93" s="469"/>
      <c r="L93" s="469"/>
      <c r="M93" s="469"/>
      <c r="N93" s="469"/>
      <c r="O93" s="469"/>
      <c r="P93" s="469"/>
    </row>
    <row r="94" spans="1:16" ht="409.5" x14ac:dyDescent="0.2">
      <c r="A94" s="507">
        <v>813222</v>
      </c>
      <c r="B94" s="507">
        <v>3222</v>
      </c>
      <c r="C94" s="507">
        <v>1060</v>
      </c>
      <c r="D94" s="339" t="s">
        <v>978</v>
      </c>
      <c r="E94" s="491">
        <f>'d3'!E94-0</f>
        <v>0</v>
      </c>
      <c r="F94" s="491">
        <f>'d3'!F94-0</f>
        <v>0</v>
      </c>
      <c r="G94" s="491">
        <f>'d3'!G94-0</f>
        <v>0</v>
      </c>
      <c r="H94" s="491">
        <f>'d3'!H94-0</f>
        <v>0</v>
      </c>
      <c r="I94" s="491">
        <f>'d3'!I94-0</f>
        <v>0</v>
      </c>
      <c r="J94" s="491">
        <f>'d3'!J94-0</f>
        <v>854690</v>
      </c>
      <c r="K94" s="491">
        <f>'d3'!K94-0</f>
        <v>854690</v>
      </c>
      <c r="L94" s="491">
        <f>'d3'!L94-0</f>
        <v>0</v>
      </c>
      <c r="M94" s="491">
        <f>'d3'!M94-0</f>
        <v>0</v>
      </c>
      <c r="N94" s="491">
        <f>'d3'!N94-0</f>
        <v>0</v>
      </c>
      <c r="O94" s="491">
        <f>'d3'!O94-0</f>
        <v>854690</v>
      </c>
      <c r="P94" s="491">
        <f>'d3'!P94-0</f>
        <v>854690</v>
      </c>
    </row>
    <row r="95" spans="1:16" ht="409.5" x14ac:dyDescent="0.2">
      <c r="A95" s="504"/>
      <c r="B95" s="504"/>
      <c r="C95" s="504"/>
      <c r="D95" s="277" t="s">
        <v>979</v>
      </c>
      <c r="E95" s="589"/>
      <c r="F95" s="589"/>
      <c r="G95" s="589"/>
      <c r="H95" s="589"/>
      <c r="I95" s="589"/>
      <c r="J95" s="589"/>
      <c r="K95" s="589"/>
      <c r="L95" s="589"/>
      <c r="M95" s="589"/>
      <c r="N95" s="589"/>
      <c r="O95" s="589"/>
      <c r="P95" s="589"/>
    </row>
    <row r="96" spans="1:16" ht="409.5" x14ac:dyDescent="0.2">
      <c r="A96" s="504"/>
      <c r="B96" s="504"/>
      <c r="C96" s="504"/>
      <c r="D96" s="277" t="s">
        <v>980</v>
      </c>
      <c r="E96" s="589"/>
      <c r="F96" s="589"/>
      <c r="G96" s="589"/>
      <c r="H96" s="589"/>
      <c r="I96" s="589"/>
      <c r="J96" s="589"/>
      <c r="K96" s="589"/>
      <c r="L96" s="589"/>
      <c r="M96" s="589"/>
      <c r="N96" s="589"/>
      <c r="O96" s="589"/>
      <c r="P96" s="589"/>
    </row>
    <row r="97" spans="1:16" ht="183" customHeight="1" x14ac:dyDescent="0.2">
      <c r="A97" s="505"/>
      <c r="B97" s="505"/>
      <c r="C97" s="505"/>
      <c r="D97" s="277" t="s">
        <v>981</v>
      </c>
      <c r="E97" s="469"/>
      <c r="F97" s="469"/>
      <c r="G97" s="469"/>
      <c r="H97" s="469"/>
      <c r="I97" s="469"/>
      <c r="J97" s="469"/>
      <c r="K97" s="469"/>
      <c r="L97" s="469"/>
      <c r="M97" s="469"/>
      <c r="N97" s="469"/>
      <c r="O97" s="469"/>
      <c r="P97" s="469"/>
    </row>
    <row r="98" spans="1:16" ht="409.5" x14ac:dyDescent="0.2">
      <c r="A98" s="476" t="s">
        <v>930</v>
      </c>
      <c r="B98" s="476" t="s">
        <v>931</v>
      </c>
      <c r="C98" s="476" t="s">
        <v>79</v>
      </c>
      <c r="D98" s="278" t="s">
        <v>932</v>
      </c>
      <c r="E98" s="491">
        <f>'d3'!E98-'d3-10'!E93</f>
        <v>0</v>
      </c>
      <c r="F98" s="491">
        <f>'d3'!F98-'d3-10'!F93</f>
        <v>0</v>
      </c>
      <c r="G98" s="491">
        <f>'d3'!G98-'d3-10'!G93</f>
        <v>0</v>
      </c>
      <c r="H98" s="491">
        <f>'d3'!H98-'d3-10'!H93</f>
        <v>0</v>
      </c>
      <c r="I98" s="491">
        <f>'d3'!I98-'d3-10'!I93</f>
        <v>0</v>
      </c>
      <c r="J98" s="491">
        <f>'d3'!J98-'d3-10'!J93</f>
        <v>0</v>
      </c>
      <c r="K98" s="491">
        <f>'d3'!K98-'d3-10'!K93</f>
        <v>0</v>
      </c>
      <c r="L98" s="491">
        <f>'d3'!L98-'d3-10'!L93</f>
        <v>0</v>
      </c>
      <c r="M98" s="491">
        <f>'d3'!M98-'d3-10'!M93</f>
        <v>0</v>
      </c>
      <c r="N98" s="491">
        <f>'d3'!N98-'d3-10'!N93</f>
        <v>0</v>
      </c>
      <c r="O98" s="491">
        <f>'d3'!O98-'d3-10'!O93</f>
        <v>0</v>
      </c>
      <c r="P98" s="491">
        <f>'d3'!P98-'d3-10'!P93</f>
        <v>0</v>
      </c>
    </row>
    <row r="99" spans="1:16" ht="409.5" x14ac:dyDescent="0.2">
      <c r="A99" s="504"/>
      <c r="B99" s="504"/>
      <c r="C99" s="504"/>
      <c r="D99" s="277" t="s">
        <v>933</v>
      </c>
      <c r="E99" s="589"/>
      <c r="F99" s="589"/>
      <c r="G99" s="589"/>
      <c r="H99" s="589"/>
      <c r="I99" s="589"/>
      <c r="J99" s="589"/>
      <c r="K99" s="589"/>
      <c r="L99" s="589"/>
      <c r="M99" s="589"/>
      <c r="N99" s="589"/>
      <c r="O99" s="589"/>
      <c r="P99" s="589"/>
    </row>
    <row r="100" spans="1:16" ht="137.25" x14ac:dyDescent="0.2">
      <c r="A100" s="505"/>
      <c r="B100" s="505"/>
      <c r="C100" s="505"/>
      <c r="D100" s="277" t="s">
        <v>934</v>
      </c>
      <c r="E100" s="469"/>
      <c r="F100" s="469"/>
      <c r="G100" s="469"/>
      <c r="H100" s="469"/>
      <c r="I100" s="469"/>
      <c r="J100" s="469"/>
      <c r="K100" s="469"/>
      <c r="L100" s="469"/>
      <c r="M100" s="469"/>
      <c r="N100" s="469"/>
      <c r="O100" s="469"/>
      <c r="P100" s="469"/>
    </row>
    <row r="101" spans="1:16" ht="409.5" x14ac:dyDescent="0.2">
      <c r="A101" s="476" t="s">
        <v>393</v>
      </c>
      <c r="B101" s="476" t="s">
        <v>280</v>
      </c>
      <c r="C101" s="506" t="s">
        <v>273</v>
      </c>
      <c r="D101" s="275" t="s">
        <v>509</v>
      </c>
      <c r="E101" s="491">
        <f>'d3'!E101-'d3-10'!E96</f>
        <v>-111162</v>
      </c>
      <c r="F101" s="491">
        <f>'d3'!F101-'d3-10'!F96</f>
        <v>-111162</v>
      </c>
      <c r="G101" s="491">
        <f>'d3'!G101-'d3-10'!G96</f>
        <v>0</v>
      </c>
      <c r="H101" s="491">
        <f>'d3'!H101-'d3-10'!H96</f>
        <v>0</v>
      </c>
      <c r="I101" s="491">
        <f>'d3'!I101-'d3-10'!I96</f>
        <v>0</v>
      </c>
      <c r="J101" s="491">
        <f>'d3'!J101-'d3-10'!J96</f>
        <v>0</v>
      </c>
      <c r="K101" s="491">
        <f>'d3'!K101-'d3-10'!K96</f>
        <v>0</v>
      </c>
      <c r="L101" s="491">
        <f>'d3'!L101-'d3-10'!L96</f>
        <v>0</v>
      </c>
      <c r="M101" s="491">
        <f>'d3'!M101-'d3-10'!M96</f>
        <v>0</v>
      </c>
      <c r="N101" s="491">
        <f>'d3'!N101-'d3-10'!N96</f>
        <v>0</v>
      </c>
      <c r="O101" s="491">
        <f>'d3'!O101-'d3-10'!O96</f>
        <v>0</v>
      </c>
      <c r="P101" s="491">
        <f>'d3'!P101-'d3-10'!P96</f>
        <v>-111162</v>
      </c>
    </row>
    <row r="102" spans="1:16" ht="327.75" customHeight="1" x14ac:dyDescent="0.2">
      <c r="A102" s="492"/>
      <c r="B102" s="492"/>
      <c r="C102" s="503"/>
      <c r="D102" s="277" t="s">
        <v>778</v>
      </c>
      <c r="E102" s="589"/>
      <c r="F102" s="589"/>
      <c r="G102" s="589"/>
      <c r="H102" s="589"/>
      <c r="I102" s="589"/>
      <c r="J102" s="589"/>
      <c r="K102" s="589"/>
      <c r="L102" s="589"/>
      <c r="M102" s="589"/>
      <c r="N102" s="589"/>
      <c r="O102" s="589"/>
      <c r="P102" s="589"/>
    </row>
    <row r="103" spans="1:16" ht="91.5" x14ac:dyDescent="0.2">
      <c r="A103" s="477"/>
      <c r="B103" s="477"/>
      <c r="C103" s="503"/>
      <c r="D103" s="274" t="s">
        <v>779</v>
      </c>
      <c r="E103" s="469"/>
      <c r="F103" s="469"/>
      <c r="G103" s="469"/>
      <c r="H103" s="469"/>
      <c r="I103" s="469"/>
      <c r="J103" s="469"/>
      <c r="K103" s="469"/>
      <c r="L103" s="469"/>
      <c r="M103" s="469"/>
      <c r="N103" s="469"/>
      <c r="O103" s="469"/>
      <c r="P103" s="469"/>
    </row>
    <row r="104" spans="1:16" ht="183" x14ac:dyDescent="0.2">
      <c r="A104" s="442" t="s">
        <v>510</v>
      </c>
      <c r="B104" s="442" t="s">
        <v>512</v>
      </c>
      <c r="C104" s="442" t="s">
        <v>281</v>
      </c>
      <c r="D104" s="269" t="s">
        <v>514</v>
      </c>
      <c r="E104" s="311">
        <f>'d3'!E104-'d3-10'!E99</f>
        <v>-24500</v>
      </c>
      <c r="F104" s="311">
        <f>'d3'!F104-'d3-10'!F99</f>
        <v>-24500</v>
      </c>
      <c r="G104" s="311">
        <f>'d3'!G104-'d3-10'!G99</f>
        <v>18000</v>
      </c>
      <c r="H104" s="311">
        <f>'d3'!H104-'d3-10'!H99</f>
        <v>-5500</v>
      </c>
      <c r="I104" s="311">
        <f>'d3'!I104-'d3-10'!I99</f>
        <v>0</v>
      </c>
      <c r="J104" s="311">
        <f>'d3'!J104-'d3-10'!J99</f>
        <v>609043</v>
      </c>
      <c r="K104" s="311">
        <f>'d3'!K104-'d3-10'!K99</f>
        <v>609043</v>
      </c>
      <c r="L104" s="311">
        <f>'d3'!L104-'d3-10'!L99</f>
        <v>0</v>
      </c>
      <c r="M104" s="311">
        <f>'d3'!M104-'d3-10'!M99</f>
        <v>0</v>
      </c>
      <c r="N104" s="311">
        <f>'d3'!N104-'d3-10'!N99</f>
        <v>0</v>
      </c>
      <c r="O104" s="311">
        <f>'d3'!O104-'d3-10'!O99</f>
        <v>609043</v>
      </c>
      <c r="P104" s="311">
        <f>'d3'!P104-'d3-10'!P99</f>
        <v>584543</v>
      </c>
    </row>
    <row r="105" spans="1:16" ht="137.25" x14ac:dyDescent="0.2">
      <c r="A105" s="442" t="s">
        <v>511</v>
      </c>
      <c r="B105" s="442" t="s">
        <v>513</v>
      </c>
      <c r="C105" s="442" t="s">
        <v>281</v>
      </c>
      <c r="D105" s="269" t="s">
        <v>515</v>
      </c>
      <c r="E105" s="311">
        <f>'d3'!E105-'d3-10'!E100</f>
        <v>1007950</v>
      </c>
      <c r="F105" s="311">
        <f>'d3'!F105-'d3-10'!F100</f>
        <v>1007950</v>
      </c>
      <c r="G105" s="311">
        <f>'d3'!G105-'d3-10'!G100</f>
        <v>0</v>
      </c>
      <c r="H105" s="311">
        <f>'d3'!H105-'d3-10'!H100</f>
        <v>0</v>
      </c>
      <c r="I105" s="311">
        <f>'d3'!I105-'d3-10'!I100</f>
        <v>0</v>
      </c>
      <c r="J105" s="311">
        <f>'d3'!J105-'d3-10'!J100</f>
        <v>0</v>
      </c>
      <c r="K105" s="311">
        <f>'d3'!K105-'d3-10'!K100</f>
        <v>0</v>
      </c>
      <c r="L105" s="311">
        <f>'d3'!L105-'d3-10'!L100</f>
        <v>0</v>
      </c>
      <c r="M105" s="311">
        <f>'d3'!M105-'d3-10'!M100</f>
        <v>0</v>
      </c>
      <c r="N105" s="311">
        <f>'d3'!N105-'d3-10'!N100</f>
        <v>0</v>
      </c>
      <c r="O105" s="311">
        <f>'d3'!O105-'d3-10'!O100</f>
        <v>0</v>
      </c>
      <c r="P105" s="311">
        <f>'d3'!P105-'d3-10'!P100</f>
        <v>1007950</v>
      </c>
    </row>
    <row r="106" spans="1:16" ht="137.25" x14ac:dyDescent="0.2">
      <c r="A106" s="442" t="s">
        <v>593</v>
      </c>
      <c r="B106" s="442" t="s">
        <v>591</v>
      </c>
      <c r="C106" s="442" t="s">
        <v>529</v>
      </c>
      <c r="D106" s="269" t="s">
        <v>592</v>
      </c>
      <c r="E106" s="311">
        <f>'d3'!E106-'d3-10'!E101</f>
        <v>0</v>
      </c>
      <c r="F106" s="311">
        <f>'d3'!F106-'d3-10'!F101</f>
        <v>0</v>
      </c>
      <c r="G106" s="311">
        <f>'d3'!G106-'d3-10'!G101</f>
        <v>0</v>
      </c>
      <c r="H106" s="311">
        <f>'d3'!H106-'d3-10'!H101</f>
        <v>0</v>
      </c>
      <c r="I106" s="311">
        <f>'d3'!I106-'d3-10'!I101</f>
        <v>0</v>
      </c>
      <c r="J106" s="311">
        <f>'d3'!J106-'d3-10'!J101</f>
        <v>-50000</v>
      </c>
      <c r="K106" s="311">
        <f>'d3'!K106-'d3-10'!K101</f>
        <v>-50000</v>
      </c>
      <c r="L106" s="311">
        <f>'d3'!L106-'d3-10'!L101</f>
        <v>0</v>
      </c>
      <c r="M106" s="311">
        <f>'d3'!M106-'d3-10'!M101</f>
        <v>0</v>
      </c>
      <c r="N106" s="311">
        <f>'d3'!N106-'d3-10'!N101</f>
        <v>0</v>
      </c>
      <c r="O106" s="311">
        <f>'d3'!O106-'d3-10'!O101</f>
        <v>-50000</v>
      </c>
      <c r="P106" s="311">
        <f>'d3'!P106-'d3-10'!P101</f>
        <v>-50000</v>
      </c>
    </row>
    <row r="107" spans="1:16" ht="366" x14ac:dyDescent="0.2">
      <c r="A107" s="442" t="s">
        <v>960</v>
      </c>
      <c r="B107" s="442" t="s">
        <v>961</v>
      </c>
      <c r="C107" s="442" t="s">
        <v>529</v>
      </c>
      <c r="D107" s="269" t="s">
        <v>959</v>
      </c>
      <c r="E107" s="311">
        <f>'d3'!E107-'d3-10'!E102</f>
        <v>0</v>
      </c>
      <c r="F107" s="311">
        <f>'d3'!F107-'d3-10'!F102</f>
        <v>0</v>
      </c>
      <c r="G107" s="311">
        <f>'d3'!G107-'d3-10'!G102</f>
        <v>0</v>
      </c>
      <c r="H107" s="311">
        <f>'d3'!H107-'d3-10'!H102</f>
        <v>0</v>
      </c>
      <c r="I107" s="311">
        <f>'d3'!I107-'d3-10'!I102</f>
        <v>0</v>
      </c>
      <c r="J107" s="311">
        <f>'d3'!J107-'d3-10'!J102</f>
        <v>0</v>
      </c>
      <c r="K107" s="311">
        <f>'d3'!K107-'d3-10'!K102</f>
        <v>0</v>
      </c>
      <c r="L107" s="311">
        <f>'d3'!L107-'d3-10'!L102</f>
        <v>0</v>
      </c>
      <c r="M107" s="311">
        <f>'d3'!M107-'d3-10'!M102</f>
        <v>0</v>
      </c>
      <c r="N107" s="311">
        <f>'d3'!N107-'d3-10'!N102</f>
        <v>0</v>
      </c>
      <c r="O107" s="311">
        <f>'d3'!O107-'d3-10'!O102</f>
        <v>0</v>
      </c>
      <c r="P107" s="311">
        <f>'d3'!P107-'d3-10'!P102</f>
        <v>0</v>
      </c>
    </row>
    <row r="108" spans="1:16" ht="91.5" x14ac:dyDescent="0.2">
      <c r="A108" s="442" t="s">
        <v>686</v>
      </c>
      <c r="B108" s="442" t="s">
        <v>687</v>
      </c>
      <c r="C108" s="442" t="s">
        <v>444</v>
      </c>
      <c r="D108" s="269" t="s">
        <v>688</v>
      </c>
      <c r="E108" s="311">
        <f>'d3'!E108-'d3-10'!E103</f>
        <v>0</v>
      </c>
      <c r="F108" s="311">
        <f>'d3'!F108-'d3-10'!F103</f>
        <v>0</v>
      </c>
      <c r="G108" s="311">
        <f>'d3'!G108-'d3-10'!G103</f>
        <v>0</v>
      </c>
      <c r="H108" s="311">
        <f>'d3'!H108-'d3-10'!H103</f>
        <v>0</v>
      </c>
      <c r="I108" s="311">
        <f>'d3'!I108-'d3-10'!I103</f>
        <v>0</v>
      </c>
      <c r="J108" s="311">
        <f>'d3'!J108-'d3-10'!J103</f>
        <v>0</v>
      </c>
      <c r="K108" s="311">
        <f>'d3'!K108-'d3-10'!K103</f>
        <v>0</v>
      </c>
      <c r="L108" s="311">
        <f>'d3'!L108-'d3-10'!L103</f>
        <v>0</v>
      </c>
      <c r="M108" s="311">
        <f>'d3'!M108-'d3-10'!M103</f>
        <v>0</v>
      </c>
      <c r="N108" s="311">
        <f>'d3'!N108-'d3-10'!N103</f>
        <v>0</v>
      </c>
      <c r="O108" s="311">
        <f>'d3'!O108-'d3-10'!O103</f>
        <v>0</v>
      </c>
      <c r="P108" s="311">
        <f>'d3'!P108-'d3-10'!P103</f>
        <v>0</v>
      </c>
    </row>
    <row r="109" spans="1:16" ht="409.5" x14ac:dyDescent="0.2">
      <c r="A109" s="476" t="s">
        <v>723</v>
      </c>
      <c r="B109" s="476" t="s">
        <v>525</v>
      </c>
      <c r="C109" s="476" t="s">
        <v>250</v>
      </c>
      <c r="D109" s="267" t="s">
        <v>536</v>
      </c>
      <c r="E109" s="491">
        <f>'d3'!E109-'d3-10'!E104</f>
        <v>0</v>
      </c>
      <c r="F109" s="491">
        <f>'d3'!F109-'d3-10'!F104</f>
        <v>0</v>
      </c>
      <c r="G109" s="491">
        <f>'d3'!G109-'d3-10'!G104</f>
        <v>0</v>
      </c>
      <c r="H109" s="491">
        <f>'d3'!H109-'d3-10'!H104</f>
        <v>0</v>
      </c>
      <c r="I109" s="491">
        <f>'d3'!I109-'d3-10'!I104</f>
        <v>0</v>
      </c>
      <c r="J109" s="491">
        <f>'d3'!J109-'d3-10'!J104</f>
        <v>0</v>
      </c>
      <c r="K109" s="491">
        <f>'d3'!K109-'d3-10'!K104</f>
        <v>0</v>
      </c>
      <c r="L109" s="491">
        <f>'d3'!L109-'d3-10'!L104</f>
        <v>0</v>
      </c>
      <c r="M109" s="491">
        <f>'d3'!M109-'d3-10'!M104</f>
        <v>0</v>
      </c>
      <c r="N109" s="491">
        <f>'d3'!N109-'d3-10'!N104</f>
        <v>0</v>
      </c>
      <c r="O109" s="491">
        <f>'d3'!O109-'d3-10'!O104</f>
        <v>0</v>
      </c>
      <c r="P109" s="491">
        <f>'d3'!P109-'d3-10'!P104</f>
        <v>0</v>
      </c>
    </row>
    <row r="110" spans="1:16" ht="137.25" x14ac:dyDescent="0.2">
      <c r="A110" s="477"/>
      <c r="B110" s="477"/>
      <c r="C110" s="477"/>
      <c r="D110" s="268" t="s">
        <v>537</v>
      </c>
      <c r="E110" s="469"/>
      <c r="F110" s="469"/>
      <c r="G110" s="469"/>
      <c r="H110" s="469"/>
      <c r="I110" s="469"/>
      <c r="J110" s="469"/>
      <c r="K110" s="469"/>
      <c r="L110" s="469"/>
      <c r="M110" s="469"/>
      <c r="N110" s="469"/>
      <c r="O110" s="469"/>
      <c r="P110" s="469"/>
    </row>
    <row r="111" spans="1:16" ht="135" x14ac:dyDescent="0.2">
      <c r="A111" s="327">
        <v>1000000</v>
      </c>
      <c r="B111" s="327"/>
      <c r="C111" s="327"/>
      <c r="D111" s="328" t="s">
        <v>43</v>
      </c>
      <c r="E111" s="329">
        <f>E112</f>
        <v>0</v>
      </c>
      <c r="F111" s="329">
        <f t="shared" ref="F111:G111" si="21">F112</f>
        <v>0</v>
      </c>
      <c r="G111" s="329">
        <f t="shared" si="21"/>
        <v>0</v>
      </c>
      <c r="H111" s="329">
        <f>H112</f>
        <v>-15300</v>
      </c>
      <c r="I111" s="329">
        <f t="shared" ref="I111" si="22">I112</f>
        <v>0</v>
      </c>
      <c r="J111" s="329">
        <f>J112</f>
        <v>0</v>
      </c>
      <c r="K111" s="329">
        <f>K112</f>
        <v>0</v>
      </c>
      <c r="L111" s="329">
        <f>L112</f>
        <v>0</v>
      </c>
      <c r="M111" s="329">
        <f t="shared" ref="M111" si="23">M112</f>
        <v>0</v>
      </c>
      <c r="N111" s="329">
        <f>N112</f>
        <v>0</v>
      </c>
      <c r="O111" s="329">
        <f>O112</f>
        <v>0</v>
      </c>
      <c r="P111" s="329">
        <f t="shared" ref="P111" si="24">P112</f>
        <v>0</v>
      </c>
    </row>
    <row r="112" spans="1:16" ht="135" x14ac:dyDescent="0.2">
      <c r="A112" s="324">
        <v>1010000</v>
      </c>
      <c r="B112" s="324"/>
      <c r="C112" s="324"/>
      <c r="D112" s="325" t="s">
        <v>62</v>
      </c>
      <c r="E112" s="326">
        <f>F112</f>
        <v>0</v>
      </c>
      <c r="F112" s="326">
        <f>SUM(F113:F120)</f>
        <v>0</v>
      </c>
      <c r="G112" s="326">
        <f t="shared" ref="G112:I112" si="25">SUM(G113:G120)</f>
        <v>0</v>
      </c>
      <c r="H112" s="326">
        <f t="shared" si="25"/>
        <v>-15300</v>
      </c>
      <c r="I112" s="326">
        <f t="shared" si="25"/>
        <v>0</v>
      </c>
      <c r="J112" s="326">
        <f t="shared" ref="J112" si="26">L112+O112</f>
        <v>0</v>
      </c>
      <c r="K112" s="326">
        <f t="shared" ref="K112:O112" si="27">SUM(K113:K120)</f>
        <v>0</v>
      </c>
      <c r="L112" s="326">
        <f t="shared" si="27"/>
        <v>0</v>
      </c>
      <c r="M112" s="326">
        <f t="shared" si="27"/>
        <v>0</v>
      </c>
      <c r="N112" s="326">
        <f t="shared" si="27"/>
        <v>0</v>
      </c>
      <c r="O112" s="326">
        <f t="shared" si="27"/>
        <v>0</v>
      </c>
      <c r="P112" s="326">
        <f t="shared" ref="P112" si="28">E112+J112</f>
        <v>0</v>
      </c>
    </row>
    <row r="113" spans="1:16" ht="228.75" x14ac:dyDescent="0.2">
      <c r="A113" s="442" t="s">
        <v>34</v>
      </c>
      <c r="B113" s="442" t="s">
        <v>268</v>
      </c>
      <c r="C113" s="442" t="s">
        <v>269</v>
      </c>
      <c r="D113" s="442" t="s">
        <v>267</v>
      </c>
      <c r="E113" s="311">
        <f>'d3'!E113-'d3-10'!E108</f>
        <v>0</v>
      </c>
      <c r="F113" s="311">
        <f>'d3'!F113-'d3-10'!F108</f>
        <v>0</v>
      </c>
      <c r="G113" s="311">
        <f>'d3'!G113-'d3-10'!G108</f>
        <v>0</v>
      </c>
      <c r="H113" s="311">
        <f>'d3'!H113-'d3-10'!H108</f>
        <v>-1300</v>
      </c>
      <c r="I113" s="311">
        <f>'d3'!I113-'d3-10'!I108</f>
        <v>0</v>
      </c>
      <c r="J113" s="311">
        <f>'d3'!J113-'d3-10'!J108</f>
        <v>0</v>
      </c>
      <c r="K113" s="311">
        <f>'d3'!K113-'d3-10'!K108</f>
        <v>0</v>
      </c>
      <c r="L113" s="311">
        <f>'d3'!L113-'d3-10'!L108</f>
        <v>0</v>
      </c>
      <c r="M113" s="311">
        <f>'d3'!M113-'d3-10'!M108</f>
        <v>0</v>
      </c>
      <c r="N113" s="311">
        <f>'d3'!N113-'d3-10'!N108</f>
        <v>0</v>
      </c>
      <c r="O113" s="311">
        <f>'d3'!O113-'d3-10'!O108</f>
        <v>0</v>
      </c>
      <c r="P113" s="311">
        <f>'d3'!P113-'d3-10'!P108</f>
        <v>0</v>
      </c>
    </row>
    <row r="114" spans="1:16" ht="46.5" x14ac:dyDescent="0.2">
      <c r="A114" s="442" t="s">
        <v>251</v>
      </c>
      <c r="B114" s="442" t="s">
        <v>252</v>
      </c>
      <c r="C114" s="442" t="s">
        <v>255</v>
      </c>
      <c r="D114" s="442" t="s">
        <v>256</v>
      </c>
      <c r="E114" s="311">
        <f>'d3'!E114-'d3-10'!E109</f>
        <v>0</v>
      </c>
      <c r="F114" s="311">
        <f>'d3'!F114-'d3-10'!F109</f>
        <v>0</v>
      </c>
      <c r="G114" s="311">
        <f>'d3'!G114-'d3-10'!G109</f>
        <v>0</v>
      </c>
      <c r="H114" s="311">
        <f>'d3'!H114-'d3-10'!H109</f>
        <v>0</v>
      </c>
      <c r="I114" s="311">
        <f>'d3'!I114-'d3-10'!I109</f>
        <v>0</v>
      </c>
      <c r="J114" s="311">
        <f>'d3'!J114-'d3-10'!J109</f>
        <v>0</v>
      </c>
      <c r="K114" s="311">
        <f>'d3'!K114-'d3-10'!K109</f>
        <v>0</v>
      </c>
      <c r="L114" s="311">
        <f>'d3'!L114-'d3-10'!L109</f>
        <v>0</v>
      </c>
      <c r="M114" s="311">
        <f>'d3'!M114-'d3-10'!M109</f>
        <v>0</v>
      </c>
      <c r="N114" s="311">
        <f>'d3'!N114-'d3-10'!N109</f>
        <v>0</v>
      </c>
      <c r="O114" s="311">
        <f>'d3'!O114-'d3-10'!O109</f>
        <v>0</v>
      </c>
      <c r="P114" s="311">
        <f>'d3'!P114-'d3-10'!P109</f>
        <v>0</v>
      </c>
    </row>
    <row r="115" spans="1:16" ht="46.5" x14ac:dyDescent="0.2">
      <c r="A115" s="442" t="s">
        <v>257</v>
      </c>
      <c r="B115" s="442" t="s">
        <v>258</v>
      </c>
      <c r="C115" s="442" t="s">
        <v>259</v>
      </c>
      <c r="D115" s="442" t="s">
        <v>260</v>
      </c>
      <c r="E115" s="311">
        <f>'d3'!E115-'d3-10'!E110</f>
        <v>0</v>
      </c>
      <c r="F115" s="311">
        <f>'d3'!F115-'d3-10'!F110</f>
        <v>0</v>
      </c>
      <c r="G115" s="311">
        <f>'d3'!G115-'d3-10'!G110</f>
        <v>0</v>
      </c>
      <c r="H115" s="311">
        <f>'d3'!H115-'d3-10'!H110</f>
        <v>0</v>
      </c>
      <c r="I115" s="311">
        <f>'d3'!I115-'d3-10'!I110</f>
        <v>0</v>
      </c>
      <c r="J115" s="311">
        <f>'d3'!J115-'d3-10'!J110</f>
        <v>0</v>
      </c>
      <c r="K115" s="311">
        <f>'d3'!K115-'d3-10'!K110</f>
        <v>0</v>
      </c>
      <c r="L115" s="311">
        <f>'d3'!L115-'d3-10'!L110</f>
        <v>0</v>
      </c>
      <c r="M115" s="311">
        <f>'d3'!M115-'d3-10'!M110</f>
        <v>0</v>
      </c>
      <c r="N115" s="311">
        <f>'d3'!N115-'d3-10'!N110</f>
        <v>0</v>
      </c>
      <c r="O115" s="311">
        <f>'d3'!O115-'d3-10'!O110</f>
        <v>0</v>
      </c>
      <c r="P115" s="311">
        <f>'d3'!P115-'d3-10'!P110</f>
        <v>0</v>
      </c>
    </row>
    <row r="116" spans="1:16" ht="91.5" x14ac:dyDescent="0.2">
      <c r="A116" s="442" t="s">
        <v>261</v>
      </c>
      <c r="B116" s="442" t="s">
        <v>262</v>
      </c>
      <c r="C116" s="442" t="s">
        <v>259</v>
      </c>
      <c r="D116" s="442" t="s">
        <v>263</v>
      </c>
      <c r="E116" s="311">
        <f>'d3'!E116-'d3-10'!E111</f>
        <v>0</v>
      </c>
      <c r="F116" s="311">
        <f>'d3'!F116-'d3-10'!F111</f>
        <v>0</v>
      </c>
      <c r="G116" s="311">
        <f>'d3'!G116-'d3-10'!G111</f>
        <v>0</v>
      </c>
      <c r="H116" s="311">
        <f>'d3'!H116-'d3-10'!H111</f>
        <v>-6000</v>
      </c>
      <c r="I116" s="311">
        <f>'d3'!I116-'d3-10'!I111</f>
        <v>0</v>
      </c>
      <c r="J116" s="311">
        <f>'d3'!J116-'d3-10'!J111</f>
        <v>0</v>
      </c>
      <c r="K116" s="311">
        <f>'d3'!K116-'d3-10'!K111</f>
        <v>0</v>
      </c>
      <c r="L116" s="311">
        <f>'d3'!L116-'d3-10'!L111</f>
        <v>0</v>
      </c>
      <c r="M116" s="311">
        <f>'d3'!M116-'d3-10'!M111</f>
        <v>0</v>
      </c>
      <c r="N116" s="311">
        <f>'d3'!N116-'d3-10'!N111</f>
        <v>0</v>
      </c>
      <c r="O116" s="311">
        <f>'d3'!O116-'d3-10'!O111</f>
        <v>0</v>
      </c>
      <c r="P116" s="311">
        <f>'d3'!P116-'d3-10'!P111</f>
        <v>0</v>
      </c>
    </row>
    <row r="117" spans="1:16" ht="183" x14ac:dyDescent="0.2">
      <c r="A117" s="442" t="s">
        <v>264</v>
      </c>
      <c r="B117" s="442" t="s">
        <v>253</v>
      </c>
      <c r="C117" s="442" t="s">
        <v>265</v>
      </c>
      <c r="D117" s="442" t="s">
        <v>266</v>
      </c>
      <c r="E117" s="311">
        <f>'d3'!E117-'d3-10'!E112</f>
        <v>0</v>
      </c>
      <c r="F117" s="311">
        <f>'d3'!F117-'d3-10'!F112</f>
        <v>0</v>
      </c>
      <c r="G117" s="311">
        <f>'d3'!G117-'d3-10'!G112</f>
        <v>0</v>
      </c>
      <c r="H117" s="311">
        <f>'d3'!H117-'d3-10'!H112</f>
        <v>-8000</v>
      </c>
      <c r="I117" s="311">
        <f>'d3'!I117-'d3-10'!I112</f>
        <v>0</v>
      </c>
      <c r="J117" s="311">
        <f>'d3'!J117-'d3-10'!J112</f>
        <v>0</v>
      </c>
      <c r="K117" s="311">
        <f>'d3'!K117-'d3-10'!K112</f>
        <v>0</v>
      </c>
      <c r="L117" s="311">
        <f>'d3'!L117-'d3-10'!L112</f>
        <v>0</v>
      </c>
      <c r="M117" s="311">
        <f>'d3'!M117-'d3-10'!M112</f>
        <v>0</v>
      </c>
      <c r="N117" s="311">
        <f>'d3'!N117-'d3-10'!N112</f>
        <v>0</v>
      </c>
      <c r="O117" s="311">
        <f>'d3'!O117-'d3-10'!O112</f>
        <v>0</v>
      </c>
      <c r="P117" s="311">
        <f>'d3'!P117-'d3-10'!P112</f>
        <v>0</v>
      </c>
    </row>
    <row r="118" spans="1:16" ht="137.25" x14ac:dyDescent="0.2">
      <c r="A118" s="442" t="s">
        <v>517</v>
      </c>
      <c r="B118" s="442" t="s">
        <v>518</v>
      </c>
      <c r="C118" s="442" t="s">
        <v>270</v>
      </c>
      <c r="D118" s="442" t="s">
        <v>516</v>
      </c>
      <c r="E118" s="311">
        <f>'d3'!E118-'d3-10'!E113</f>
        <v>0</v>
      </c>
      <c r="F118" s="311">
        <f>'d3'!F118-'d3-10'!F113</f>
        <v>0</v>
      </c>
      <c r="G118" s="311">
        <f>'d3'!G118-'d3-10'!G113</f>
        <v>0</v>
      </c>
      <c r="H118" s="311">
        <f>'d3'!H118-'d3-10'!H113</f>
        <v>0</v>
      </c>
      <c r="I118" s="311">
        <f>'d3'!I118-'d3-10'!I113</f>
        <v>0</v>
      </c>
      <c r="J118" s="311">
        <f>'d3'!J118-'d3-10'!J113</f>
        <v>0</v>
      </c>
      <c r="K118" s="311">
        <f>'d3'!K118-'d3-10'!K113</f>
        <v>0</v>
      </c>
      <c r="L118" s="311">
        <f>'d3'!L118-'d3-10'!L113</f>
        <v>0</v>
      </c>
      <c r="M118" s="311">
        <f>'d3'!M118-'d3-10'!M113</f>
        <v>0</v>
      </c>
      <c r="N118" s="311">
        <f>'d3'!N118-'d3-10'!N113</f>
        <v>0</v>
      </c>
      <c r="O118" s="311">
        <f>'d3'!O118-'d3-10'!O113</f>
        <v>0</v>
      </c>
      <c r="P118" s="311">
        <f>'d3'!P118-'d3-10'!P113</f>
        <v>0</v>
      </c>
    </row>
    <row r="119" spans="1:16" ht="91.5" x14ac:dyDescent="0.2">
      <c r="A119" s="442" t="s">
        <v>519</v>
      </c>
      <c r="B119" s="442" t="s">
        <v>520</v>
      </c>
      <c r="C119" s="442" t="s">
        <v>270</v>
      </c>
      <c r="D119" s="442" t="s">
        <v>521</v>
      </c>
      <c r="E119" s="311">
        <f>'d3'!E119-'d3-10'!E114</f>
        <v>0</v>
      </c>
      <c r="F119" s="311">
        <f>'d3'!F119-'d3-10'!F114</f>
        <v>0</v>
      </c>
      <c r="G119" s="311">
        <f>'d3'!G119-'d3-10'!G114</f>
        <v>0</v>
      </c>
      <c r="H119" s="311">
        <f>'d3'!H119-'d3-10'!H114</f>
        <v>0</v>
      </c>
      <c r="I119" s="311">
        <f>'d3'!I119-'d3-10'!I114</f>
        <v>0</v>
      </c>
      <c r="J119" s="311">
        <f>'d3'!J119-'d3-10'!J114</f>
        <v>0</v>
      </c>
      <c r="K119" s="311">
        <f>'d3'!K119-'d3-10'!K114</f>
        <v>0</v>
      </c>
      <c r="L119" s="311">
        <f>'d3'!L119-'d3-10'!L114</f>
        <v>0</v>
      </c>
      <c r="M119" s="311">
        <f>'d3'!M119-'d3-10'!M114</f>
        <v>0</v>
      </c>
      <c r="N119" s="311">
        <f>'d3'!N119-'d3-10'!N114</f>
        <v>0</v>
      </c>
      <c r="O119" s="311">
        <f>'d3'!O119-'d3-10'!O114</f>
        <v>0</v>
      </c>
      <c r="P119" s="311">
        <f>'d3'!P119-'d3-10'!P114</f>
        <v>0</v>
      </c>
    </row>
    <row r="120" spans="1:16" ht="91.5" x14ac:dyDescent="0.2">
      <c r="A120" s="442" t="s">
        <v>828</v>
      </c>
      <c r="B120" s="442" t="s">
        <v>287</v>
      </c>
      <c r="C120" s="442" t="s">
        <v>250</v>
      </c>
      <c r="D120" s="442" t="s">
        <v>57</v>
      </c>
      <c r="E120" s="311">
        <f>'d3'!E120-'d3-10'!E115</f>
        <v>0</v>
      </c>
      <c r="F120" s="311">
        <f>'d3'!F120-'d3-10'!F115</f>
        <v>0</v>
      </c>
      <c r="G120" s="311">
        <f>'d3'!G120-'d3-10'!G115</f>
        <v>0</v>
      </c>
      <c r="H120" s="311">
        <f>'d3'!H120-'d3-10'!H115</f>
        <v>0</v>
      </c>
      <c r="I120" s="311">
        <f>'d3'!I120-'d3-10'!I115</f>
        <v>0</v>
      </c>
      <c r="J120" s="311">
        <f>'d3'!J120-'d3-10'!J115</f>
        <v>0</v>
      </c>
      <c r="K120" s="311">
        <f>'d3'!K120-'d3-10'!K115</f>
        <v>0</v>
      </c>
      <c r="L120" s="311">
        <f>'d3'!L120-'d3-10'!L115</f>
        <v>0</v>
      </c>
      <c r="M120" s="311">
        <f>'d3'!M120-'d3-10'!M115</f>
        <v>0</v>
      </c>
      <c r="N120" s="311">
        <f>'d3'!N120-'d3-10'!N115</f>
        <v>0</v>
      </c>
      <c r="O120" s="311">
        <f>'d3'!O120-'d3-10'!O115</f>
        <v>0</v>
      </c>
      <c r="P120" s="311">
        <f>'d3'!P120-'d3-10'!P115</f>
        <v>0</v>
      </c>
    </row>
    <row r="121" spans="1:16" ht="135" x14ac:dyDescent="0.2">
      <c r="A121" s="327" t="s">
        <v>40</v>
      </c>
      <c r="B121" s="327"/>
      <c r="C121" s="327"/>
      <c r="D121" s="328" t="s">
        <v>41</v>
      </c>
      <c r="E121" s="329">
        <f>E122</f>
        <v>-276329</v>
      </c>
      <c r="F121" s="329">
        <f t="shared" ref="F121:G121" si="29">F122</f>
        <v>-276329</v>
      </c>
      <c r="G121" s="329">
        <f t="shared" si="29"/>
        <v>92862</v>
      </c>
      <c r="H121" s="329">
        <f>H122</f>
        <v>-140726</v>
      </c>
      <c r="I121" s="329">
        <f t="shared" ref="I121" si="30">I122</f>
        <v>0</v>
      </c>
      <c r="J121" s="329">
        <f>J122</f>
        <v>138700</v>
      </c>
      <c r="K121" s="329">
        <f>K122</f>
        <v>138700</v>
      </c>
      <c r="L121" s="329">
        <f>L122</f>
        <v>0</v>
      </c>
      <c r="M121" s="329">
        <f t="shared" ref="M121" si="31">M122</f>
        <v>0</v>
      </c>
      <c r="N121" s="329">
        <f>N122</f>
        <v>-15000</v>
      </c>
      <c r="O121" s="329">
        <f>O122</f>
        <v>138700</v>
      </c>
      <c r="P121" s="329">
        <f t="shared" ref="P121" si="32">P122</f>
        <v>-137629</v>
      </c>
    </row>
    <row r="122" spans="1:16" ht="135" x14ac:dyDescent="0.2">
      <c r="A122" s="324" t="s">
        <v>39</v>
      </c>
      <c r="B122" s="324"/>
      <c r="C122" s="324"/>
      <c r="D122" s="325" t="s">
        <v>58</v>
      </c>
      <c r="E122" s="326">
        <f>SUM(E123:E136)</f>
        <v>-276329</v>
      </c>
      <c r="F122" s="326">
        <f>SUM(F123:F136)</f>
        <v>-276329</v>
      </c>
      <c r="G122" s="326">
        <f>SUM(G123:G136)</f>
        <v>92862</v>
      </c>
      <c r="H122" s="326">
        <f>SUM(H123:H136)</f>
        <v>-140726</v>
      </c>
      <c r="I122" s="326">
        <f>SUM(I123:I136)</f>
        <v>0</v>
      </c>
      <c r="J122" s="326">
        <f t="shared" ref="J122" si="33">L122+O122</f>
        <v>138700</v>
      </c>
      <c r="K122" s="326">
        <f>SUM(K123:K136)</f>
        <v>138700</v>
      </c>
      <c r="L122" s="326">
        <f>SUM(L123:L136)</f>
        <v>0</v>
      </c>
      <c r="M122" s="326">
        <f>SUM(M123:M136)</f>
        <v>0</v>
      </c>
      <c r="N122" s="326">
        <f>SUM(N123:N136)</f>
        <v>-15000</v>
      </c>
      <c r="O122" s="326">
        <f>SUM(O123:O136)</f>
        <v>138700</v>
      </c>
      <c r="P122" s="326">
        <f>E122+J122</f>
        <v>-137629</v>
      </c>
    </row>
    <row r="123" spans="1:16" ht="137.25" x14ac:dyDescent="0.2">
      <c r="A123" s="442" t="s">
        <v>271</v>
      </c>
      <c r="B123" s="442" t="s">
        <v>272</v>
      </c>
      <c r="C123" s="442" t="s">
        <v>273</v>
      </c>
      <c r="D123" s="442" t="s">
        <v>274</v>
      </c>
      <c r="E123" s="311">
        <f>'d3'!E123-'d3-10'!E118</f>
        <v>0</v>
      </c>
      <c r="F123" s="311">
        <f>'d3'!F123-'d3-10'!F118</f>
        <v>0</v>
      </c>
      <c r="G123" s="311">
        <f>'d3'!G123-'d3-10'!G118</f>
        <v>0</v>
      </c>
      <c r="H123" s="311">
        <f>'d3'!H123-'d3-10'!H118</f>
        <v>0</v>
      </c>
      <c r="I123" s="311">
        <f>'d3'!I123-'d3-10'!I118</f>
        <v>0</v>
      </c>
      <c r="J123" s="311">
        <f>'d3'!J123-'d3-10'!J118</f>
        <v>35200</v>
      </c>
      <c r="K123" s="311">
        <f>'d3'!K123-'d3-10'!K118</f>
        <v>35200</v>
      </c>
      <c r="L123" s="311">
        <f>'d3'!L123-'d3-10'!L118</f>
        <v>0</v>
      </c>
      <c r="M123" s="311">
        <f>'d3'!M123-'d3-10'!M118</f>
        <v>0</v>
      </c>
      <c r="N123" s="311">
        <f>'d3'!N123-'d3-10'!N118</f>
        <v>0</v>
      </c>
      <c r="O123" s="311">
        <f>'d3'!O123-'d3-10'!O118</f>
        <v>35200</v>
      </c>
      <c r="P123" s="311">
        <f>'d3'!P123-'d3-10'!P118</f>
        <v>35200</v>
      </c>
    </row>
    <row r="124" spans="1:16" ht="183" x14ac:dyDescent="0.2">
      <c r="A124" s="442" t="s">
        <v>72</v>
      </c>
      <c r="B124" s="442" t="s">
        <v>254</v>
      </c>
      <c r="C124" s="442" t="s">
        <v>273</v>
      </c>
      <c r="D124" s="442" t="s">
        <v>22</v>
      </c>
      <c r="E124" s="311">
        <f>'d3'!E124-'d3-10'!E119</f>
        <v>260000</v>
      </c>
      <c r="F124" s="311">
        <f>'d3'!F124-'d3-10'!F119</f>
        <v>260000</v>
      </c>
      <c r="G124" s="311">
        <f>'d3'!G124-'d3-10'!G119</f>
        <v>0</v>
      </c>
      <c r="H124" s="311">
        <f>'d3'!H124-'d3-10'!H119</f>
        <v>0</v>
      </c>
      <c r="I124" s="311">
        <f>'d3'!I124-'d3-10'!I119</f>
        <v>0</v>
      </c>
      <c r="J124" s="311">
        <f>'d3'!J124-'d3-10'!J119</f>
        <v>0</v>
      </c>
      <c r="K124" s="311">
        <f>'d3'!K124-'d3-10'!K119</f>
        <v>0</v>
      </c>
      <c r="L124" s="311">
        <f>'d3'!L124-'d3-10'!L119</f>
        <v>0</v>
      </c>
      <c r="M124" s="311">
        <f>'d3'!M124-'d3-10'!M119</f>
        <v>0</v>
      </c>
      <c r="N124" s="311">
        <f>'d3'!N124-'d3-10'!N119</f>
        <v>0</v>
      </c>
      <c r="O124" s="311">
        <f>'d3'!O124-'d3-10'!O119</f>
        <v>0</v>
      </c>
      <c r="P124" s="311">
        <f>'d3'!P124-'d3-10'!P119</f>
        <v>260000</v>
      </c>
    </row>
    <row r="125" spans="1:16" ht="91.5" x14ac:dyDescent="0.2">
      <c r="A125" s="442" t="s">
        <v>278</v>
      </c>
      <c r="B125" s="442" t="s">
        <v>279</v>
      </c>
      <c r="C125" s="442" t="s">
        <v>273</v>
      </c>
      <c r="D125" s="442" t="s">
        <v>23</v>
      </c>
      <c r="E125" s="311">
        <f>'d3'!E125-'d3-10'!E120</f>
        <v>-79300</v>
      </c>
      <c r="F125" s="311">
        <f>'d3'!F125-'d3-10'!F120</f>
        <v>-79300</v>
      </c>
      <c r="G125" s="311">
        <f>'d3'!G125-'d3-10'!G120</f>
        <v>0</v>
      </c>
      <c r="H125" s="311">
        <f>'d3'!H125-'d3-10'!H120</f>
        <v>-78900</v>
      </c>
      <c r="I125" s="311">
        <f>'d3'!I125-'d3-10'!I120</f>
        <v>0</v>
      </c>
      <c r="J125" s="311">
        <f>'d3'!J125-'d3-10'!J120</f>
        <v>0</v>
      </c>
      <c r="K125" s="311">
        <f>'d3'!K125-'d3-10'!K120</f>
        <v>0</v>
      </c>
      <c r="L125" s="311">
        <f>'d3'!L125-'d3-10'!L120</f>
        <v>0</v>
      </c>
      <c r="M125" s="311">
        <f>'d3'!M125-'d3-10'!M120</f>
        <v>0</v>
      </c>
      <c r="N125" s="311">
        <f>'d3'!N125-'d3-10'!N120</f>
        <v>0</v>
      </c>
      <c r="O125" s="311">
        <f>'d3'!O125-'d3-10'!O120</f>
        <v>0</v>
      </c>
      <c r="P125" s="311">
        <f>'d3'!P125-'d3-10'!P120</f>
        <v>-79300</v>
      </c>
    </row>
    <row r="126" spans="1:16" ht="91.5" x14ac:dyDescent="0.2">
      <c r="A126" s="442" t="s">
        <v>560</v>
      </c>
      <c r="B126" s="442" t="s">
        <v>561</v>
      </c>
      <c r="C126" s="442" t="s">
        <v>273</v>
      </c>
      <c r="D126" s="442" t="s">
        <v>562</v>
      </c>
      <c r="E126" s="311">
        <f>'d3'!E126-'d3-10'!E121</f>
        <v>-500000</v>
      </c>
      <c r="F126" s="311">
        <f>'d3'!F126-'d3-10'!F121</f>
        <v>-500000</v>
      </c>
      <c r="G126" s="311">
        <f>'d3'!G126-'d3-10'!G121</f>
        <v>0</v>
      </c>
      <c r="H126" s="311">
        <f>'d3'!H126-'d3-10'!H121</f>
        <v>-33964</v>
      </c>
      <c r="I126" s="311">
        <f>'d3'!I126-'d3-10'!I121</f>
        <v>0</v>
      </c>
      <c r="J126" s="311">
        <f>'d3'!J126-'d3-10'!J121</f>
        <v>0</v>
      </c>
      <c r="K126" s="311">
        <f>'d3'!K126-'d3-10'!K121</f>
        <v>0</v>
      </c>
      <c r="L126" s="311">
        <f>'d3'!L126-'d3-10'!L121</f>
        <v>0</v>
      </c>
      <c r="M126" s="311">
        <f>'d3'!M126-'d3-10'!M121</f>
        <v>0</v>
      </c>
      <c r="N126" s="311">
        <f>'d3'!N126-'d3-10'!N121</f>
        <v>0</v>
      </c>
      <c r="O126" s="311">
        <f>'d3'!O126-'d3-10'!O121</f>
        <v>0</v>
      </c>
      <c r="P126" s="311">
        <f>'d3'!P126-'d3-10'!P121</f>
        <v>-500000</v>
      </c>
    </row>
    <row r="127" spans="1:16" ht="137.25" x14ac:dyDescent="0.2">
      <c r="A127" s="442" t="s">
        <v>73</v>
      </c>
      <c r="B127" s="442" t="s">
        <v>275</v>
      </c>
      <c r="C127" s="442" t="s">
        <v>285</v>
      </c>
      <c r="D127" s="442" t="s">
        <v>74</v>
      </c>
      <c r="E127" s="311">
        <f>'d3'!E127-'d3-10'!E122</f>
        <v>-20000</v>
      </c>
      <c r="F127" s="311">
        <f>'d3'!F127-'d3-10'!F122</f>
        <v>-20000</v>
      </c>
      <c r="G127" s="311">
        <f>'d3'!G127-'d3-10'!G122</f>
        <v>0</v>
      </c>
      <c r="H127" s="311">
        <f>'d3'!H127-'d3-10'!H122</f>
        <v>0</v>
      </c>
      <c r="I127" s="311">
        <f>'d3'!I127-'d3-10'!I122</f>
        <v>0</v>
      </c>
      <c r="J127" s="311">
        <f>'d3'!J127-'d3-10'!J122</f>
        <v>0</v>
      </c>
      <c r="K127" s="311">
        <f>'d3'!K127-'d3-10'!K122</f>
        <v>0</v>
      </c>
      <c r="L127" s="311">
        <f>'d3'!L127-'d3-10'!L122</f>
        <v>0</v>
      </c>
      <c r="M127" s="311">
        <f>'d3'!M127-'d3-10'!M122</f>
        <v>0</v>
      </c>
      <c r="N127" s="311">
        <f>'d3'!N127-'d3-10'!N122</f>
        <v>0</v>
      </c>
      <c r="O127" s="311">
        <f>'d3'!O127-'d3-10'!O122</f>
        <v>0</v>
      </c>
      <c r="P127" s="311">
        <f>'d3'!P127-'d3-10'!P122</f>
        <v>-20000</v>
      </c>
    </row>
    <row r="128" spans="1:16" ht="137.25" x14ac:dyDescent="0.2">
      <c r="A128" s="442" t="s">
        <v>75</v>
      </c>
      <c r="B128" s="442" t="s">
        <v>276</v>
      </c>
      <c r="C128" s="442" t="s">
        <v>285</v>
      </c>
      <c r="D128" s="442" t="s">
        <v>6</v>
      </c>
      <c r="E128" s="311">
        <f>'d3'!E128-'d3-10'!E123</f>
        <v>26500</v>
      </c>
      <c r="F128" s="311">
        <f>'d3'!F128-'d3-10'!F123</f>
        <v>26500</v>
      </c>
      <c r="G128" s="311">
        <f>'d3'!G128-'d3-10'!G123</f>
        <v>0</v>
      </c>
      <c r="H128" s="311">
        <f>'d3'!H128-'d3-10'!H123</f>
        <v>0</v>
      </c>
      <c r="I128" s="311">
        <f>'d3'!I128-'d3-10'!I123</f>
        <v>0</v>
      </c>
      <c r="J128" s="311">
        <f>'d3'!J128-'d3-10'!J123</f>
        <v>0</v>
      </c>
      <c r="K128" s="311">
        <f>'d3'!K128-'d3-10'!K123</f>
        <v>0</v>
      </c>
      <c r="L128" s="311">
        <f>'d3'!L128-'d3-10'!L123</f>
        <v>0</v>
      </c>
      <c r="M128" s="311">
        <f>'d3'!M128-'d3-10'!M123</f>
        <v>0</v>
      </c>
      <c r="N128" s="311">
        <f>'d3'!N128-'d3-10'!N123</f>
        <v>0</v>
      </c>
      <c r="O128" s="311">
        <f>'d3'!O128-'d3-10'!O123</f>
        <v>0</v>
      </c>
      <c r="P128" s="311">
        <f>'d3'!P128-'d3-10'!P123</f>
        <v>26500</v>
      </c>
    </row>
    <row r="129" spans="1:16" ht="183" x14ac:dyDescent="0.2">
      <c r="A129" s="442" t="s">
        <v>76</v>
      </c>
      <c r="B129" s="442" t="s">
        <v>277</v>
      </c>
      <c r="C129" s="442" t="s">
        <v>285</v>
      </c>
      <c r="D129" s="442" t="s">
        <v>557</v>
      </c>
      <c r="E129" s="311">
        <f>'d3'!E129-'d3-10'!E124</f>
        <v>-49000</v>
      </c>
      <c r="F129" s="311">
        <f>'d3'!F129-'d3-10'!F124</f>
        <v>-49000</v>
      </c>
      <c r="G129" s="311">
        <f>'d3'!G129-'d3-10'!G124</f>
        <v>0</v>
      </c>
      <c r="H129" s="311">
        <f>'d3'!H129-'d3-10'!H124</f>
        <v>0</v>
      </c>
      <c r="I129" s="311">
        <f>'d3'!I129-'d3-10'!I124</f>
        <v>0</v>
      </c>
      <c r="J129" s="311">
        <f>'d3'!J129-'d3-10'!J124</f>
        <v>0</v>
      </c>
      <c r="K129" s="311">
        <f>'d3'!K129-'d3-10'!K124</f>
        <v>0</v>
      </c>
      <c r="L129" s="311">
        <f>'d3'!L129-'d3-10'!L124</f>
        <v>0</v>
      </c>
      <c r="M129" s="311">
        <f>'d3'!M129-'d3-10'!M124</f>
        <v>0</v>
      </c>
      <c r="N129" s="311">
        <f>'d3'!N129-'d3-10'!N124</f>
        <v>0</v>
      </c>
      <c r="O129" s="311">
        <f>'d3'!O129-'d3-10'!O124</f>
        <v>0</v>
      </c>
      <c r="P129" s="311">
        <f>'d3'!P129-'d3-10'!P124</f>
        <v>-49000</v>
      </c>
    </row>
    <row r="130" spans="1:16" ht="183" x14ac:dyDescent="0.2">
      <c r="A130" s="442" t="s">
        <v>49</v>
      </c>
      <c r="B130" s="442" t="s">
        <v>282</v>
      </c>
      <c r="C130" s="442" t="s">
        <v>285</v>
      </c>
      <c r="D130" s="442" t="s">
        <v>77</v>
      </c>
      <c r="E130" s="311">
        <f>'d3'!E130-'d3-10'!E125</f>
        <v>0</v>
      </c>
      <c r="F130" s="311">
        <f>'d3'!F130-'d3-10'!F125</f>
        <v>0</v>
      </c>
      <c r="G130" s="311">
        <f>'d3'!G130-'d3-10'!G125</f>
        <v>67862</v>
      </c>
      <c r="H130" s="311">
        <f>'d3'!H130-'d3-10'!H125</f>
        <v>-27862</v>
      </c>
      <c r="I130" s="311">
        <f>'d3'!I130-'d3-10'!I125</f>
        <v>0</v>
      </c>
      <c r="J130" s="311">
        <f>'d3'!J130-'d3-10'!J125</f>
        <v>46000</v>
      </c>
      <c r="K130" s="311">
        <f>'d3'!K130-'d3-10'!K125</f>
        <v>46000</v>
      </c>
      <c r="L130" s="311">
        <f>'d3'!L130-'d3-10'!L125</f>
        <v>0</v>
      </c>
      <c r="M130" s="311">
        <f>'d3'!M130-'d3-10'!M125</f>
        <v>0</v>
      </c>
      <c r="N130" s="311">
        <f>'d3'!N130-'d3-10'!N125</f>
        <v>-15000</v>
      </c>
      <c r="O130" s="311">
        <f>'d3'!O130-'d3-10'!O125</f>
        <v>46000</v>
      </c>
      <c r="P130" s="311">
        <f>'d3'!P130-'d3-10'!P125</f>
        <v>46000</v>
      </c>
    </row>
    <row r="131" spans="1:16" ht="183" x14ac:dyDescent="0.2">
      <c r="A131" s="442" t="s">
        <v>50</v>
      </c>
      <c r="B131" s="442" t="s">
        <v>283</v>
      </c>
      <c r="C131" s="442" t="s">
        <v>285</v>
      </c>
      <c r="D131" s="442" t="s">
        <v>78</v>
      </c>
      <c r="E131" s="311">
        <f>'d3'!E131-'d3-10'!E126</f>
        <v>64971</v>
      </c>
      <c r="F131" s="311">
        <f>'d3'!F131-'d3-10'!F126</f>
        <v>64971</v>
      </c>
      <c r="G131" s="311">
        <f>'d3'!G131-'d3-10'!G126</f>
        <v>0</v>
      </c>
      <c r="H131" s="311">
        <f>'d3'!H131-'d3-10'!H126</f>
        <v>0</v>
      </c>
      <c r="I131" s="311">
        <f>'d3'!I131-'d3-10'!I126</f>
        <v>0</v>
      </c>
      <c r="J131" s="311">
        <f>'d3'!J131-'d3-10'!J126</f>
        <v>0</v>
      </c>
      <c r="K131" s="311">
        <f>'d3'!K131-'d3-10'!K126</f>
        <v>0</v>
      </c>
      <c r="L131" s="311">
        <f>'d3'!L131-'d3-10'!L126</f>
        <v>0</v>
      </c>
      <c r="M131" s="311">
        <f>'d3'!M131-'d3-10'!M126</f>
        <v>0</v>
      </c>
      <c r="N131" s="311">
        <f>'d3'!N131-'d3-10'!N126</f>
        <v>0</v>
      </c>
      <c r="O131" s="311">
        <f>'d3'!O131-'d3-10'!O126</f>
        <v>0</v>
      </c>
      <c r="P131" s="311">
        <f>'d3'!P131-'d3-10'!P126</f>
        <v>64971</v>
      </c>
    </row>
    <row r="132" spans="1:16" ht="228.75" x14ac:dyDescent="0.2">
      <c r="A132" s="279" t="s">
        <v>51</v>
      </c>
      <c r="B132" s="279" t="s">
        <v>284</v>
      </c>
      <c r="C132" s="279" t="s">
        <v>285</v>
      </c>
      <c r="D132" s="442" t="s">
        <v>52</v>
      </c>
      <c r="E132" s="311">
        <f>'d3'!E132-'d3-10'!E127</f>
        <v>-40000</v>
      </c>
      <c r="F132" s="311">
        <f>'d3'!F132-'d3-10'!F127</f>
        <v>-40000</v>
      </c>
      <c r="G132" s="311">
        <f>'d3'!G132-'d3-10'!G127</f>
        <v>0</v>
      </c>
      <c r="H132" s="311">
        <f>'d3'!H132-'d3-10'!H127</f>
        <v>0</v>
      </c>
      <c r="I132" s="311">
        <f>'d3'!I132-'d3-10'!I127</f>
        <v>0</v>
      </c>
      <c r="J132" s="311">
        <f>'d3'!J132-'d3-10'!J127</f>
        <v>0</v>
      </c>
      <c r="K132" s="311">
        <f>'d3'!K132-'d3-10'!K127</f>
        <v>0</v>
      </c>
      <c r="L132" s="311">
        <f>'d3'!L132-'d3-10'!L127</f>
        <v>0</v>
      </c>
      <c r="M132" s="311">
        <f>'d3'!M132-'d3-10'!M127</f>
        <v>0</v>
      </c>
      <c r="N132" s="311">
        <f>'d3'!N132-'d3-10'!N127</f>
        <v>0</v>
      </c>
      <c r="O132" s="311">
        <f>'d3'!O132-'d3-10'!O127</f>
        <v>0</v>
      </c>
      <c r="P132" s="311">
        <f>'d3'!P132-'d3-10'!P127</f>
        <v>-40000</v>
      </c>
    </row>
    <row r="133" spans="1:16" ht="183" x14ac:dyDescent="0.2">
      <c r="A133" s="442" t="s">
        <v>952</v>
      </c>
      <c r="B133" s="442" t="s">
        <v>953</v>
      </c>
      <c r="C133" s="442" t="s">
        <v>285</v>
      </c>
      <c r="D133" s="442" t="s">
        <v>954</v>
      </c>
      <c r="E133" s="311">
        <f>'d3'!E133-'d3-10'!E128</f>
        <v>30000</v>
      </c>
      <c r="F133" s="311">
        <f>'d3'!F133-'d3-10'!F128</f>
        <v>30000</v>
      </c>
      <c r="G133" s="311">
        <f>'d3'!G133-'d3-10'!G128</f>
        <v>0</v>
      </c>
      <c r="H133" s="311">
        <f>'d3'!H133-'d3-10'!H128</f>
        <v>0</v>
      </c>
      <c r="I133" s="311">
        <f>'d3'!I133-'d3-10'!I128</f>
        <v>0</v>
      </c>
      <c r="J133" s="311">
        <f>'d3'!J133-'d3-10'!J128</f>
        <v>0</v>
      </c>
      <c r="K133" s="311">
        <f>'d3'!K133-'d3-10'!K128</f>
        <v>0</v>
      </c>
      <c r="L133" s="311">
        <f>'d3'!L133-'d3-10'!L128</f>
        <v>0</v>
      </c>
      <c r="M133" s="311">
        <f>'d3'!M133-'d3-10'!M128</f>
        <v>0</v>
      </c>
      <c r="N133" s="311">
        <f>'d3'!N133-'d3-10'!N128</f>
        <v>0</v>
      </c>
      <c r="O133" s="311">
        <f>'d3'!O133-'d3-10'!O128</f>
        <v>0</v>
      </c>
      <c r="P133" s="311">
        <f>'d3'!P133-'d3-10'!P128</f>
        <v>30000</v>
      </c>
    </row>
    <row r="134" spans="1:16" ht="91.5" x14ac:dyDescent="0.2">
      <c r="A134" s="279" t="s">
        <v>53</v>
      </c>
      <c r="B134" s="279" t="s">
        <v>286</v>
      </c>
      <c r="C134" s="279" t="s">
        <v>285</v>
      </c>
      <c r="D134" s="442" t="s">
        <v>54</v>
      </c>
      <c r="E134" s="311">
        <f>'d3'!E134-'d3-10'!E129</f>
        <v>30500</v>
      </c>
      <c r="F134" s="311">
        <f>'d3'!F134-'d3-10'!F129</f>
        <v>30500</v>
      </c>
      <c r="G134" s="311">
        <f>'d3'!G134-'d3-10'!G129</f>
        <v>25000</v>
      </c>
      <c r="H134" s="311">
        <f>'d3'!H134-'d3-10'!H129</f>
        <v>0</v>
      </c>
      <c r="I134" s="311">
        <f>'d3'!I134-'d3-10'!I129</f>
        <v>0</v>
      </c>
      <c r="J134" s="311">
        <f>'d3'!J134-'d3-10'!J129</f>
        <v>57500</v>
      </c>
      <c r="K134" s="311">
        <f>'d3'!K134-'d3-10'!K129</f>
        <v>57500</v>
      </c>
      <c r="L134" s="311">
        <f>'d3'!L134-'d3-10'!L129</f>
        <v>0</v>
      </c>
      <c r="M134" s="311">
        <f>'d3'!M134-'d3-10'!M129</f>
        <v>0</v>
      </c>
      <c r="N134" s="311">
        <f>'d3'!N134-'d3-10'!N129</f>
        <v>0</v>
      </c>
      <c r="O134" s="311">
        <f>'d3'!O134-'d3-10'!O129</f>
        <v>57500</v>
      </c>
      <c r="P134" s="311">
        <f>'d3'!P134-'d3-10'!P129</f>
        <v>88000</v>
      </c>
    </row>
    <row r="135" spans="1:16" ht="274.5" x14ac:dyDescent="0.2">
      <c r="A135" s="279" t="s">
        <v>531</v>
      </c>
      <c r="B135" s="279" t="s">
        <v>530</v>
      </c>
      <c r="C135" s="279" t="s">
        <v>529</v>
      </c>
      <c r="D135" s="442" t="s">
        <v>528</v>
      </c>
      <c r="E135" s="311">
        <f>'d3'!E135-'d3-10'!E130</f>
        <v>0</v>
      </c>
      <c r="F135" s="311">
        <f>'d3'!F135-'d3-10'!F130</f>
        <v>0</v>
      </c>
      <c r="G135" s="311">
        <f>'d3'!G135-'d3-10'!G130</f>
        <v>0</v>
      </c>
      <c r="H135" s="311">
        <f>'d3'!H135-'d3-10'!H130</f>
        <v>0</v>
      </c>
      <c r="I135" s="311">
        <f>'d3'!I135-'d3-10'!I130</f>
        <v>0</v>
      </c>
      <c r="J135" s="311">
        <f>'d3'!J135-'d3-10'!J130</f>
        <v>0</v>
      </c>
      <c r="K135" s="311">
        <f>'d3'!K135-'d3-10'!K130</f>
        <v>0</v>
      </c>
      <c r="L135" s="311">
        <f>'d3'!L135-'d3-10'!L130</f>
        <v>0</v>
      </c>
      <c r="M135" s="311">
        <f>'d3'!M135-'d3-10'!M130</f>
        <v>0</v>
      </c>
      <c r="N135" s="311">
        <f>'d3'!N135-'d3-10'!N130</f>
        <v>0</v>
      </c>
      <c r="O135" s="311">
        <f>'d3'!O135-'d3-10'!O130</f>
        <v>0</v>
      </c>
      <c r="P135" s="311">
        <f>'d3'!P135-'d3-10'!P130</f>
        <v>0</v>
      </c>
    </row>
    <row r="136" spans="1:16" ht="91.5" x14ac:dyDescent="0.2">
      <c r="A136" s="442" t="s">
        <v>876</v>
      </c>
      <c r="B136" s="442" t="s">
        <v>287</v>
      </c>
      <c r="C136" s="442" t="s">
        <v>250</v>
      </c>
      <c r="D136" s="442" t="s">
        <v>57</v>
      </c>
      <c r="E136" s="311">
        <f>'d3'!E136-'d3-10'!E131</f>
        <v>0</v>
      </c>
      <c r="F136" s="311">
        <f>'d3'!F136-'d3-10'!F131</f>
        <v>0</v>
      </c>
      <c r="G136" s="311">
        <f>'d3'!G136-'d3-10'!G131</f>
        <v>0</v>
      </c>
      <c r="H136" s="311">
        <f>'d3'!H136-'d3-10'!H131</f>
        <v>0</v>
      </c>
      <c r="I136" s="311">
        <f>'d3'!I136-'d3-10'!I131</f>
        <v>0</v>
      </c>
      <c r="J136" s="311">
        <f>'d3'!J136-'d3-10'!J131</f>
        <v>0</v>
      </c>
      <c r="K136" s="311">
        <f>'d3'!K136-'d3-10'!K131</f>
        <v>0</v>
      </c>
      <c r="L136" s="311">
        <f>'d3'!L136-'d3-10'!L131</f>
        <v>0</v>
      </c>
      <c r="M136" s="311">
        <f>'d3'!M136-'d3-10'!M131</f>
        <v>0</v>
      </c>
      <c r="N136" s="311">
        <f>'d3'!N136-'d3-10'!N131</f>
        <v>0</v>
      </c>
      <c r="O136" s="311">
        <f>'d3'!O136-'d3-10'!O131</f>
        <v>0</v>
      </c>
      <c r="P136" s="311">
        <f>'d3'!P136-'d3-10'!P131</f>
        <v>0</v>
      </c>
    </row>
    <row r="137" spans="1:16" ht="180" x14ac:dyDescent="0.2">
      <c r="A137" s="327" t="s">
        <v>238</v>
      </c>
      <c r="B137" s="327"/>
      <c r="C137" s="327"/>
      <c r="D137" s="328" t="s">
        <v>42</v>
      </c>
      <c r="E137" s="329">
        <f>E138</f>
        <v>4056280</v>
      </c>
      <c r="F137" s="329">
        <f t="shared" ref="F137:G137" si="34">F138</f>
        <v>4056280</v>
      </c>
      <c r="G137" s="329">
        <f t="shared" si="34"/>
        <v>260722</v>
      </c>
      <c r="H137" s="329">
        <f>H138</f>
        <v>0</v>
      </c>
      <c r="I137" s="329">
        <f t="shared" ref="I137" si="35">I138</f>
        <v>0</v>
      </c>
      <c r="J137" s="329">
        <f>J138</f>
        <v>-5110375</v>
      </c>
      <c r="K137" s="329">
        <f>K138</f>
        <v>-5110375</v>
      </c>
      <c r="L137" s="329">
        <f>L138</f>
        <v>0</v>
      </c>
      <c r="M137" s="329">
        <f t="shared" ref="M137" si="36">M138</f>
        <v>0</v>
      </c>
      <c r="N137" s="329">
        <f>N138</f>
        <v>0</v>
      </c>
      <c r="O137" s="329">
        <f>O138</f>
        <v>-5110375</v>
      </c>
      <c r="P137" s="329">
        <f>P138</f>
        <v>-1054095</v>
      </c>
    </row>
    <row r="138" spans="1:16" ht="180" x14ac:dyDescent="0.2">
      <c r="A138" s="324" t="s">
        <v>239</v>
      </c>
      <c r="B138" s="324"/>
      <c r="C138" s="324"/>
      <c r="D138" s="325" t="s">
        <v>63</v>
      </c>
      <c r="E138" s="326">
        <f>SUM(E139:E158)</f>
        <v>4056280</v>
      </c>
      <c r="F138" s="326">
        <f>SUM(F139:F158)</f>
        <v>4056280</v>
      </c>
      <c r="G138" s="326">
        <f>SUM(G139:G158)</f>
        <v>260722</v>
      </c>
      <c r="H138" s="326">
        <f>SUM(H139:H158)</f>
        <v>0</v>
      </c>
      <c r="I138" s="326">
        <f>SUM(I139:I158)</f>
        <v>0</v>
      </c>
      <c r="J138" s="326">
        <f t="shared" ref="J138" si="37">L138+O138</f>
        <v>-5110375</v>
      </c>
      <c r="K138" s="326">
        <f>SUM(K139:K158)</f>
        <v>-5110375</v>
      </c>
      <c r="L138" s="326">
        <f>SUM(L139:L158)</f>
        <v>0</v>
      </c>
      <c r="M138" s="326">
        <f>SUM(M139:M158)</f>
        <v>0</v>
      </c>
      <c r="N138" s="326">
        <f>SUM(N139:N158)</f>
        <v>0</v>
      </c>
      <c r="O138" s="326">
        <f>SUM(O139:O158)</f>
        <v>-5110375</v>
      </c>
      <c r="P138" s="326">
        <f>E138+J138</f>
        <v>-1054095</v>
      </c>
    </row>
    <row r="139" spans="1:16" ht="228.75" x14ac:dyDescent="0.2">
      <c r="A139" s="442" t="s">
        <v>717</v>
      </c>
      <c r="B139" s="442" t="s">
        <v>335</v>
      </c>
      <c r="C139" s="442" t="s">
        <v>333</v>
      </c>
      <c r="D139" s="442" t="s">
        <v>334</v>
      </c>
      <c r="E139" s="311">
        <f>'d3'!E139-'d3-10'!E134</f>
        <v>58022</v>
      </c>
      <c r="F139" s="311">
        <f>'d3'!F139-'d3-10'!F134</f>
        <v>58022</v>
      </c>
      <c r="G139" s="311">
        <f>'d3'!G139-'d3-10'!G134</f>
        <v>260722</v>
      </c>
      <c r="H139" s="311">
        <f>'d3'!H139-'d3-10'!H134</f>
        <v>0</v>
      </c>
      <c r="I139" s="311">
        <f>'d3'!I139-'d3-10'!I134</f>
        <v>0</v>
      </c>
      <c r="J139" s="311">
        <f>'d3'!J139-'d3-10'!J134</f>
        <v>0</v>
      </c>
      <c r="K139" s="311">
        <f>'d3'!K139-'d3-10'!K134</f>
        <v>0</v>
      </c>
      <c r="L139" s="311">
        <f>'d3'!L139-'d3-10'!L134</f>
        <v>0</v>
      </c>
      <c r="M139" s="311">
        <f>'d3'!M139-'d3-10'!M134</f>
        <v>0</v>
      </c>
      <c r="N139" s="311">
        <f>'d3'!N139-'d3-10'!N134</f>
        <v>0</v>
      </c>
      <c r="O139" s="311">
        <f>'d3'!O139-'d3-10'!O134</f>
        <v>0</v>
      </c>
      <c r="P139" s="311">
        <f>'d3'!P139-'d3-10'!P134</f>
        <v>58022</v>
      </c>
    </row>
    <row r="140" spans="1:16" ht="91.5" x14ac:dyDescent="0.2">
      <c r="A140" s="442" t="s">
        <v>806</v>
      </c>
      <c r="B140" s="442" t="s">
        <v>71</v>
      </c>
      <c r="C140" s="442" t="s">
        <v>70</v>
      </c>
      <c r="D140" s="442" t="s">
        <v>348</v>
      </c>
      <c r="E140" s="311">
        <f>'d3'!E140-'d3-10'!E135</f>
        <v>0</v>
      </c>
      <c r="F140" s="311">
        <f>'d3'!F140-'d3-10'!F135</f>
        <v>0</v>
      </c>
      <c r="G140" s="311">
        <f>'d3'!G140-'d3-10'!G135</f>
        <v>0</v>
      </c>
      <c r="H140" s="311">
        <f>'d3'!H140-'d3-10'!H135</f>
        <v>0</v>
      </c>
      <c r="I140" s="311">
        <f>'d3'!I140-'d3-10'!I135</f>
        <v>0</v>
      </c>
      <c r="J140" s="311">
        <f>'d3'!J140-'d3-10'!J135</f>
        <v>0</v>
      </c>
      <c r="K140" s="311">
        <f>'d3'!K140-'d3-10'!K135</f>
        <v>0</v>
      </c>
      <c r="L140" s="311">
        <f>'d3'!L140-'d3-10'!L135</f>
        <v>0</v>
      </c>
      <c r="M140" s="311">
        <f>'d3'!M140-'d3-10'!M135</f>
        <v>0</v>
      </c>
      <c r="N140" s="311">
        <f>'d3'!N140-'d3-10'!N135</f>
        <v>0</v>
      </c>
      <c r="O140" s="311">
        <f>'d3'!O140-'d3-10'!O135</f>
        <v>0</v>
      </c>
      <c r="P140" s="311">
        <f>'d3'!P140-'d3-10'!P135</f>
        <v>0</v>
      </c>
    </row>
    <row r="141" spans="1:16" ht="91.5" x14ac:dyDescent="0.2">
      <c r="A141" s="442" t="s">
        <v>411</v>
      </c>
      <c r="B141" s="442" t="s">
        <v>412</v>
      </c>
      <c r="C141" s="442" t="s">
        <v>529</v>
      </c>
      <c r="D141" s="442" t="s">
        <v>413</v>
      </c>
      <c r="E141" s="311">
        <f>'d3'!E141-'d3-10'!E136</f>
        <v>0</v>
      </c>
      <c r="F141" s="311">
        <f>'d3'!F141-'d3-10'!F136</f>
        <v>0</v>
      </c>
      <c r="G141" s="311">
        <f>'d3'!G141-'d3-10'!G136</f>
        <v>0</v>
      </c>
      <c r="H141" s="311">
        <f>'d3'!H141-'d3-10'!H136</f>
        <v>0</v>
      </c>
      <c r="I141" s="311">
        <f>'d3'!I141-'d3-10'!I136</f>
        <v>0</v>
      </c>
      <c r="J141" s="311">
        <f>'d3'!J141-'d3-10'!J136</f>
        <v>-95000</v>
      </c>
      <c r="K141" s="311">
        <f>'d3'!K141-'d3-10'!K136</f>
        <v>-95000</v>
      </c>
      <c r="L141" s="311">
        <f>'d3'!L141-'d3-10'!L136</f>
        <v>0</v>
      </c>
      <c r="M141" s="311">
        <f>'d3'!M141-'d3-10'!M136</f>
        <v>0</v>
      </c>
      <c r="N141" s="311">
        <f>'d3'!N141-'d3-10'!N136</f>
        <v>0</v>
      </c>
      <c r="O141" s="311">
        <f>'d3'!O141-'d3-10'!O136</f>
        <v>-95000</v>
      </c>
      <c r="P141" s="311">
        <f>'d3'!P141-'d3-10'!P136</f>
        <v>-95000</v>
      </c>
    </row>
    <row r="142" spans="1:16" ht="137.25" customHeight="1" x14ac:dyDescent="0.2">
      <c r="A142" s="442" t="s">
        <v>624</v>
      </c>
      <c r="B142" s="442" t="s">
        <v>625</v>
      </c>
      <c r="C142" s="442" t="s">
        <v>414</v>
      </c>
      <c r="D142" s="442" t="s">
        <v>626</v>
      </c>
      <c r="E142" s="311">
        <f>'d3'!E142-'d3-10'!E137</f>
        <v>2500000</v>
      </c>
      <c r="F142" s="311">
        <f>'d3'!F142-'d3-10'!F137</f>
        <v>2500000</v>
      </c>
      <c r="G142" s="311">
        <f>'d3'!G142-'d3-10'!G137</f>
        <v>0</v>
      </c>
      <c r="H142" s="311">
        <f>'d3'!H142-'d3-10'!H137</f>
        <v>0</v>
      </c>
      <c r="I142" s="311">
        <f>'d3'!I142-'d3-10'!I137</f>
        <v>0</v>
      </c>
      <c r="J142" s="311">
        <f>'d3'!J142-'d3-10'!J137</f>
        <v>0</v>
      </c>
      <c r="K142" s="311">
        <f>'d3'!K142-'d3-10'!K137</f>
        <v>0</v>
      </c>
      <c r="L142" s="311">
        <f>'d3'!L142-'d3-10'!L137</f>
        <v>0</v>
      </c>
      <c r="M142" s="311">
        <f>'d3'!M142-'d3-10'!M137</f>
        <v>0</v>
      </c>
      <c r="N142" s="311">
        <f>'d3'!N142-'d3-10'!N137</f>
        <v>0</v>
      </c>
      <c r="O142" s="311">
        <f>'d3'!O142-'d3-10'!O137</f>
        <v>0</v>
      </c>
      <c r="P142" s="311">
        <f>'d3'!P142-'d3-10'!P137</f>
        <v>2500000</v>
      </c>
    </row>
    <row r="143" spans="1:16" ht="137.25" x14ac:dyDescent="0.2">
      <c r="A143" s="442" t="s">
        <v>418</v>
      </c>
      <c r="B143" s="442" t="s">
        <v>419</v>
      </c>
      <c r="C143" s="442" t="s">
        <v>414</v>
      </c>
      <c r="D143" s="442" t="s">
        <v>420</v>
      </c>
      <c r="E143" s="311">
        <f>'d3'!E143-'d3-10'!E138</f>
        <v>0</v>
      </c>
      <c r="F143" s="311">
        <f>'d3'!F143-'d3-10'!F138</f>
        <v>0</v>
      </c>
      <c r="G143" s="311">
        <f>'d3'!G143-'d3-10'!G138</f>
        <v>0</v>
      </c>
      <c r="H143" s="311">
        <f>'d3'!H143-'d3-10'!H138</f>
        <v>0</v>
      </c>
      <c r="I143" s="311">
        <f>'d3'!I143-'d3-10'!I138</f>
        <v>0</v>
      </c>
      <c r="J143" s="311">
        <f>'d3'!J143-'d3-10'!J138</f>
        <v>0</v>
      </c>
      <c r="K143" s="311">
        <f>'d3'!K143-'d3-10'!K138</f>
        <v>0</v>
      </c>
      <c r="L143" s="311">
        <f>'d3'!L143-'d3-10'!L138</f>
        <v>0</v>
      </c>
      <c r="M143" s="311">
        <f>'d3'!M143-'d3-10'!M138</f>
        <v>0</v>
      </c>
      <c r="N143" s="311">
        <f>'d3'!N143-'d3-10'!N138</f>
        <v>0</v>
      </c>
      <c r="O143" s="311">
        <f>'d3'!O143-'d3-10'!O138</f>
        <v>0</v>
      </c>
      <c r="P143" s="311">
        <f>'d3'!P143-'d3-10'!P138</f>
        <v>0</v>
      </c>
    </row>
    <row r="144" spans="1:16" ht="91.5" x14ac:dyDescent="0.2">
      <c r="A144" s="442" t="s">
        <v>441</v>
      </c>
      <c r="B144" s="442" t="s">
        <v>442</v>
      </c>
      <c r="C144" s="442" t="s">
        <v>414</v>
      </c>
      <c r="D144" s="442" t="s">
        <v>443</v>
      </c>
      <c r="E144" s="311">
        <f>'d3'!E144-'d3-10'!E139</f>
        <v>0</v>
      </c>
      <c r="F144" s="311">
        <f>'d3'!F144-'d3-10'!F139</f>
        <v>0</v>
      </c>
      <c r="G144" s="311">
        <f>'d3'!G144-'d3-10'!G139</f>
        <v>0</v>
      </c>
      <c r="H144" s="311">
        <f>'d3'!H144-'d3-10'!H139</f>
        <v>0</v>
      </c>
      <c r="I144" s="311">
        <f>'d3'!I144-'d3-10'!I139</f>
        <v>0</v>
      </c>
      <c r="J144" s="311">
        <f>'d3'!J144-'d3-10'!J139</f>
        <v>0</v>
      </c>
      <c r="K144" s="311">
        <f>'d3'!K144-'d3-10'!K139</f>
        <v>0</v>
      </c>
      <c r="L144" s="311">
        <f>'d3'!L144-'d3-10'!L139</f>
        <v>0</v>
      </c>
      <c r="M144" s="311">
        <f>'d3'!M144-'d3-10'!M139</f>
        <v>0</v>
      </c>
      <c r="N144" s="311">
        <f>'d3'!N144-'d3-10'!N139</f>
        <v>0</v>
      </c>
      <c r="O144" s="311">
        <f>'d3'!O144-'d3-10'!O139</f>
        <v>0</v>
      </c>
      <c r="P144" s="311">
        <f>'d3'!P144-'d3-10'!P139</f>
        <v>0</v>
      </c>
    </row>
    <row r="145" spans="1:16" ht="137.25" x14ac:dyDescent="0.2">
      <c r="A145" s="442" t="s">
        <v>415</v>
      </c>
      <c r="B145" s="442" t="s">
        <v>416</v>
      </c>
      <c r="C145" s="442" t="s">
        <v>414</v>
      </c>
      <c r="D145" s="442" t="s">
        <v>417</v>
      </c>
      <c r="E145" s="311">
        <f>'d3'!E145-'d3-10'!E140</f>
        <v>0</v>
      </c>
      <c r="F145" s="311">
        <f>'d3'!F145-'d3-10'!F140</f>
        <v>0</v>
      </c>
      <c r="G145" s="311">
        <f>'d3'!G145-'d3-10'!G140</f>
        <v>0</v>
      </c>
      <c r="H145" s="311">
        <f>'d3'!H145-'d3-10'!H140</f>
        <v>0</v>
      </c>
      <c r="I145" s="311">
        <f>'d3'!I145-'d3-10'!I140</f>
        <v>0</v>
      </c>
      <c r="J145" s="311">
        <f>'d3'!J145-'d3-10'!J140</f>
        <v>0</v>
      </c>
      <c r="K145" s="311">
        <f>'d3'!K145-'d3-10'!K140</f>
        <v>0</v>
      </c>
      <c r="L145" s="311">
        <f>'d3'!L145-'d3-10'!L140</f>
        <v>0</v>
      </c>
      <c r="M145" s="311">
        <f>'d3'!M145-'d3-10'!M140</f>
        <v>0</v>
      </c>
      <c r="N145" s="311">
        <f>'d3'!N145-'d3-10'!N140</f>
        <v>0</v>
      </c>
      <c r="O145" s="311">
        <f>'d3'!O145-'d3-10'!O140</f>
        <v>0</v>
      </c>
      <c r="P145" s="311">
        <f>'d3'!P145-'d3-10'!P140</f>
        <v>0</v>
      </c>
    </row>
    <row r="146" spans="1:16" ht="228.75" x14ac:dyDescent="0.2">
      <c r="A146" s="442" t="s">
        <v>435</v>
      </c>
      <c r="B146" s="442" t="s">
        <v>436</v>
      </c>
      <c r="C146" s="442" t="s">
        <v>414</v>
      </c>
      <c r="D146" s="442" t="s">
        <v>437</v>
      </c>
      <c r="E146" s="311">
        <f>'d3'!E146-'d3-10'!E141</f>
        <v>0</v>
      </c>
      <c r="F146" s="311">
        <f>'d3'!F146-'d3-10'!F141</f>
        <v>0</v>
      </c>
      <c r="G146" s="311">
        <f>'d3'!G146-'d3-10'!G141</f>
        <v>0</v>
      </c>
      <c r="H146" s="311">
        <f>'d3'!H146-'d3-10'!H141</f>
        <v>0</v>
      </c>
      <c r="I146" s="311">
        <f>'d3'!I146-'d3-10'!I141</f>
        <v>0</v>
      </c>
      <c r="J146" s="311">
        <f>'d3'!J146-'d3-10'!J141</f>
        <v>0</v>
      </c>
      <c r="K146" s="311">
        <f>'d3'!K146-'d3-10'!K141</f>
        <v>0</v>
      </c>
      <c r="L146" s="311">
        <f>'d3'!L146-'d3-10'!L141</f>
        <v>0</v>
      </c>
      <c r="M146" s="311">
        <f>'d3'!M146-'d3-10'!M141</f>
        <v>0</v>
      </c>
      <c r="N146" s="311">
        <f>'d3'!N146-'d3-10'!N141</f>
        <v>0</v>
      </c>
      <c r="O146" s="311">
        <f>'d3'!O146-'d3-10'!O141</f>
        <v>0</v>
      </c>
      <c r="P146" s="311">
        <f>'d3'!P146-'d3-10'!P141</f>
        <v>0</v>
      </c>
    </row>
    <row r="147" spans="1:16" ht="91.5" x14ac:dyDescent="0.2">
      <c r="A147" s="442" t="s">
        <v>421</v>
      </c>
      <c r="B147" s="442" t="s">
        <v>422</v>
      </c>
      <c r="C147" s="442" t="s">
        <v>414</v>
      </c>
      <c r="D147" s="442" t="s">
        <v>423</v>
      </c>
      <c r="E147" s="311">
        <f>'d3'!E147-'d3-10'!E142</f>
        <v>4093763</v>
      </c>
      <c r="F147" s="311">
        <f>'d3'!F147-'d3-10'!F142</f>
        <v>4093763</v>
      </c>
      <c r="G147" s="311">
        <f>'d3'!G147-'d3-10'!G142</f>
        <v>0</v>
      </c>
      <c r="H147" s="311">
        <f>'d3'!H147-'d3-10'!H142</f>
        <v>0</v>
      </c>
      <c r="I147" s="311">
        <f>'d3'!I147-'d3-10'!I142</f>
        <v>0</v>
      </c>
      <c r="J147" s="311">
        <f>'d3'!J147-'d3-10'!J142</f>
        <v>-1744949</v>
      </c>
      <c r="K147" s="311">
        <f>'d3'!K147-'d3-10'!K142</f>
        <v>-1744949</v>
      </c>
      <c r="L147" s="311">
        <f>'d3'!L147-'d3-10'!L142</f>
        <v>0</v>
      </c>
      <c r="M147" s="311">
        <f>'d3'!M147-'d3-10'!M142</f>
        <v>0</v>
      </c>
      <c r="N147" s="311">
        <f>'d3'!N147-'d3-10'!N142</f>
        <v>0</v>
      </c>
      <c r="O147" s="311">
        <f>'d3'!O147-'d3-10'!O142</f>
        <v>-1744949</v>
      </c>
      <c r="P147" s="311">
        <f>'d3'!P147-'d3-10'!P142</f>
        <v>2348814</v>
      </c>
    </row>
    <row r="148" spans="1:16" ht="92.25" x14ac:dyDescent="0.2">
      <c r="A148" s="442" t="s">
        <v>445</v>
      </c>
      <c r="B148" s="442" t="s">
        <v>446</v>
      </c>
      <c r="C148" s="442" t="s">
        <v>444</v>
      </c>
      <c r="D148" s="442" t="s">
        <v>447</v>
      </c>
      <c r="E148" s="311">
        <f>'d3'!E148-'d3-10'!E143</f>
        <v>0</v>
      </c>
      <c r="F148" s="311">
        <f>'d3'!F148-'d3-10'!F143</f>
        <v>0</v>
      </c>
      <c r="G148" s="311">
        <f>'d3'!G148-'d3-10'!G143</f>
        <v>0</v>
      </c>
      <c r="H148" s="311">
        <f>'d3'!H148-'d3-10'!H143</f>
        <v>0</v>
      </c>
      <c r="I148" s="311">
        <f>'d3'!I148-'d3-10'!I143</f>
        <v>0</v>
      </c>
      <c r="J148" s="311">
        <f>'d3'!J148-'d3-10'!J143</f>
        <v>-260000</v>
      </c>
      <c r="K148" s="311">
        <f>'d3'!K148-'d3-10'!K143</f>
        <v>-260000</v>
      </c>
      <c r="L148" s="311">
        <f>'d3'!L148-'d3-10'!L143</f>
        <v>0</v>
      </c>
      <c r="M148" s="311">
        <f>'d3'!M148-'d3-10'!M143</f>
        <v>0</v>
      </c>
      <c r="N148" s="311">
        <f>'d3'!N148-'d3-10'!N143</f>
        <v>0</v>
      </c>
      <c r="O148" s="311">
        <f>'d3'!O148-'d3-10'!O143</f>
        <v>-260000</v>
      </c>
      <c r="P148" s="311">
        <f>'d3'!P148-'d3-10'!P143</f>
        <v>-260000</v>
      </c>
    </row>
    <row r="149" spans="1:16" ht="137.25" x14ac:dyDescent="0.2">
      <c r="A149" s="442" t="s">
        <v>830</v>
      </c>
      <c r="B149" s="442" t="s">
        <v>559</v>
      </c>
      <c r="C149" s="442" t="s">
        <v>250</v>
      </c>
      <c r="D149" s="442" t="s">
        <v>392</v>
      </c>
      <c r="E149" s="311">
        <f>'d3'!E149-'d3-10'!E144</f>
        <v>0</v>
      </c>
      <c r="F149" s="311">
        <f>'d3'!F149-'d3-10'!F144</f>
        <v>0</v>
      </c>
      <c r="G149" s="311">
        <f>'d3'!G149-'d3-10'!G144</f>
        <v>0</v>
      </c>
      <c r="H149" s="311">
        <f>'d3'!H149-'d3-10'!H144</f>
        <v>0</v>
      </c>
      <c r="I149" s="311">
        <f>'d3'!I149-'d3-10'!I144</f>
        <v>0</v>
      </c>
      <c r="J149" s="311">
        <f>'d3'!J149-'d3-10'!J144</f>
        <v>0</v>
      </c>
      <c r="K149" s="311">
        <f>'d3'!K149-'d3-10'!K144</f>
        <v>0</v>
      </c>
      <c r="L149" s="311">
        <f>'d3'!L149-'d3-10'!L144</f>
        <v>0</v>
      </c>
      <c r="M149" s="311">
        <f>'d3'!M149-'d3-10'!M144</f>
        <v>0</v>
      </c>
      <c r="N149" s="311">
        <f>'d3'!N149-'d3-10'!N144</f>
        <v>0</v>
      </c>
      <c r="O149" s="311">
        <f>'d3'!O149-'d3-10'!O144</f>
        <v>0</v>
      </c>
      <c r="P149" s="311">
        <f>'d3'!P149-'d3-10'!P144</f>
        <v>0</v>
      </c>
    </row>
    <row r="150" spans="1:16" ht="91.5" x14ac:dyDescent="0.2">
      <c r="A150" s="442" t="s">
        <v>700</v>
      </c>
      <c r="B150" s="442" t="s">
        <v>701</v>
      </c>
      <c r="C150" s="442" t="s">
        <v>702</v>
      </c>
      <c r="D150" s="442" t="s">
        <v>703</v>
      </c>
      <c r="E150" s="311">
        <f>'d3'!E150-'d3-10'!E145</f>
        <v>0</v>
      </c>
      <c r="F150" s="311">
        <f>'d3'!F150-'d3-10'!F145</f>
        <v>0</v>
      </c>
      <c r="G150" s="311">
        <f>'d3'!G150-'d3-10'!G145</f>
        <v>0</v>
      </c>
      <c r="H150" s="311">
        <f>'d3'!H150-'d3-10'!H145</f>
        <v>0</v>
      </c>
      <c r="I150" s="311">
        <f>'d3'!I150-'d3-10'!I145</f>
        <v>0</v>
      </c>
      <c r="J150" s="311">
        <f>'d3'!J150-'d3-10'!J145</f>
        <v>0</v>
      </c>
      <c r="K150" s="311">
        <f>'d3'!K150-'d3-10'!K145</f>
        <v>0</v>
      </c>
      <c r="L150" s="311">
        <f>'d3'!L150-'d3-10'!L145</f>
        <v>0</v>
      </c>
      <c r="M150" s="311">
        <f>'d3'!M150-'d3-10'!M145</f>
        <v>0</v>
      </c>
      <c r="N150" s="311">
        <f>'d3'!N150-'d3-10'!N145</f>
        <v>0</v>
      </c>
      <c r="O150" s="311">
        <f>'d3'!O150-'d3-10'!O145</f>
        <v>0</v>
      </c>
      <c r="P150" s="311">
        <f>'d3'!P150-'d3-10'!P145</f>
        <v>0</v>
      </c>
    </row>
    <row r="151" spans="1:16" ht="91.5" x14ac:dyDescent="0.2">
      <c r="A151" s="442" t="s">
        <v>424</v>
      </c>
      <c r="B151" s="442" t="s">
        <v>425</v>
      </c>
      <c r="C151" s="442" t="s">
        <v>427</v>
      </c>
      <c r="D151" s="442" t="s">
        <v>426</v>
      </c>
      <c r="E151" s="311">
        <f>'d3'!E151-'d3-10'!E146</f>
        <v>-2298505</v>
      </c>
      <c r="F151" s="311">
        <f>'d3'!F151-'d3-10'!F146</f>
        <v>-2298505</v>
      </c>
      <c r="G151" s="311">
        <f>'d3'!G151-'d3-10'!G146</f>
        <v>0</v>
      </c>
      <c r="H151" s="311">
        <f>'d3'!H151-'d3-10'!H146</f>
        <v>0</v>
      </c>
      <c r="I151" s="311">
        <f>'d3'!I151-'d3-10'!I146</f>
        <v>0</v>
      </c>
      <c r="J151" s="311">
        <f>'d3'!J151-'d3-10'!J146</f>
        <v>0</v>
      </c>
      <c r="K151" s="311">
        <f>'d3'!K151-'d3-10'!K146</f>
        <v>0</v>
      </c>
      <c r="L151" s="311">
        <f>'d3'!L151-'d3-10'!L146</f>
        <v>0</v>
      </c>
      <c r="M151" s="311">
        <f>'d3'!M151-'d3-10'!M146</f>
        <v>0</v>
      </c>
      <c r="N151" s="311">
        <f>'d3'!N151-'d3-10'!N146</f>
        <v>0</v>
      </c>
      <c r="O151" s="311">
        <f>'d3'!O151-'d3-10'!O146</f>
        <v>0</v>
      </c>
      <c r="P151" s="311">
        <f>'d3'!P151-'d3-10'!P146</f>
        <v>-2298505</v>
      </c>
    </row>
    <row r="152" spans="1:16" ht="183" x14ac:dyDescent="0.2">
      <c r="A152" s="442" t="s">
        <v>428</v>
      </c>
      <c r="B152" s="442" t="s">
        <v>429</v>
      </c>
      <c r="C152" s="442" t="s">
        <v>431</v>
      </c>
      <c r="D152" s="442" t="s">
        <v>430</v>
      </c>
      <c r="E152" s="311">
        <f>'d3'!E152-'d3-10'!E147</f>
        <v>-297000</v>
      </c>
      <c r="F152" s="311">
        <f>'d3'!F152-'d3-10'!F147</f>
        <v>-297000</v>
      </c>
      <c r="G152" s="311">
        <f>'d3'!G152-'d3-10'!G147</f>
        <v>0</v>
      </c>
      <c r="H152" s="311">
        <f>'d3'!H152-'d3-10'!H147</f>
        <v>0</v>
      </c>
      <c r="I152" s="311">
        <f>'d3'!I152-'d3-10'!I147</f>
        <v>0</v>
      </c>
      <c r="J152" s="311">
        <f>'d3'!J152-'d3-10'!J147</f>
        <v>-3200000</v>
      </c>
      <c r="K152" s="311">
        <f>'d3'!K152-'d3-10'!K147</f>
        <v>-3200000</v>
      </c>
      <c r="L152" s="311">
        <f>'d3'!L152-'d3-10'!L147</f>
        <v>0</v>
      </c>
      <c r="M152" s="311">
        <f>'d3'!M152-'d3-10'!M147</f>
        <v>0</v>
      </c>
      <c r="N152" s="311">
        <f>'d3'!N152-'d3-10'!N147</f>
        <v>0</v>
      </c>
      <c r="O152" s="311">
        <f>'d3'!O152-'d3-10'!O147</f>
        <v>-3200000</v>
      </c>
      <c r="P152" s="311">
        <f>'d3'!P152-'d3-10'!P147</f>
        <v>-3497000</v>
      </c>
    </row>
    <row r="153" spans="1:16" ht="183" x14ac:dyDescent="0.2">
      <c r="A153" s="442" t="s">
        <v>935</v>
      </c>
      <c r="B153" s="442" t="s">
        <v>936</v>
      </c>
      <c r="C153" s="442" t="s">
        <v>431</v>
      </c>
      <c r="D153" s="442" t="s">
        <v>937</v>
      </c>
      <c r="E153" s="311">
        <f>'d3'!E153-'d3-10'!E148</f>
        <v>0</v>
      </c>
      <c r="F153" s="311">
        <f>'d3'!F153-'d3-10'!F148</f>
        <v>0</v>
      </c>
      <c r="G153" s="311">
        <f>'d3'!G153-'d3-10'!G148</f>
        <v>0</v>
      </c>
      <c r="H153" s="311">
        <f>'d3'!H153-'d3-10'!H148</f>
        <v>0</v>
      </c>
      <c r="I153" s="311">
        <f>'d3'!I153-'d3-10'!I148</f>
        <v>0</v>
      </c>
      <c r="J153" s="311">
        <f>'d3'!J153-'d3-10'!J148</f>
        <v>0</v>
      </c>
      <c r="K153" s="311">
        <f>'d3'!K153-'d3-10'!K148</f>
        <v>0</v>
      </c>
      <c r="L153" s="311">
        <f>'d3'!L153-'d3-10'!L148</f>
        <v>0</v>
      </c>
      <c r="M153" s="311">
        <f>'d3'!M153-'d3-10'!M148</f>
        <v>0</v>
      </c>
      <c r="N153" s="311">
        <f>'d3'!N153-'d3-10'!N148</f>
        <v>0</v>
      </c>
      <c r="O153" s="311">
        <f>'d3'!O153-'d3-10'!O148</f>
        <v>0</v>
      </c>
      <c r="P153" s="311">
        <f>'d3'!P153-'d3-10'!P148</f>
        <v>0</v>
      </c>
    </row>
    <row r="154" spans="1:16" ht="46.5" x14ac:dyDescent="0.2">
      <c r="A154" s="442" t="s">
        <v>432</v>
      </c>
      <c r="B154" s="442" t="s">
        <v>311</v>
      </c>
      <c r="C154" s="442" t="s">
        <v>312</v>
      </c>
      <c r="D154" s="442" t="s">
        <v>67</v>
      </c>
      <c r="E154" s="311">
        <f>'d3'!E154-'d3-10'!E149</f>
        <v>0</v>
      </c>
      <c r="F154" s="311">
        <f>'d3'!F154-'d3-10'!F149</f>
        <v>0</v>
      </c>
      <c r="G154" s="311">
        <f>'d3'!G154-'d3-10'!G149</f>
        <v>0</v>
      </c>
      <c r="H154" s="311">
        <f>'d3'!H154-'d3-10'!H149</f>
        <v>0</v>
      </c>
      <c r="I154" s="311">
        <f>'d3'!I154-'d3-10'!I149</f>
        <v>0</v>
      </c>
      <c r="J154" s="311">
        <f>'d3'!J154-'d3-10'!J149</f>
        <v>0</v>
      </c>
      <c r="K154" s="311">
        <f>'d3'!K154-'d3-10'!K149</f>
        <v>0</v>
      </c>
      <c r="L154" s="311">
        <f>'d3'!L154-'d3-10'!L149</f>
        <v>0</v>
      </c>
      <c r="M154" s="311">
        <f>'d3'!M154-'d3-10'!M149</f>
        <v>0</v>
      </c>
      <c r="N154" s="311">
        <f>'d3'!N154-'d3-10'!N149</f>
        <v>0</v>
      </c>
      <c r="O154" s="311">
        <f>'d3'!O154-'d3-10'!O149</f>
        <v>0</v>
      </c>
      <c r="P154" s="311">
        <f>'d3'!P154-'d3-10'!P149</f>
        <v>0</v>
      </c>
    </row>
    <row r="155" spans="1:16" ht="91.5" x14ac:dyDescent="0.2">
      <c r="A155" s="442" t="s">
        <v>449</v>
      </c>
      <c r="B155" s="442" t="s">
        <v>287</v>
      </c>
      <c r="C155" s="442" t="s">
        <v>250</v>
      </c>
      <c r="D155" s="442" t="s">
        <v>57</v>
      </c>
      <c r="E155" s="311">
        <f>'d3'!E155-'d3-10'!E150</f>
        <v>0</v>
      </c>
      <c r="F155" s="311">
        <f>'d3'!F155-'d3-10'!F150</f>
        <v>0</v>
      </c>
      <c r="G155" s="311">
        <f>'d3'!G155-'d3-10'!G150</f>
        <v>0</v>
      </c>
      <c r="H155" s="311">
        <f>'d3'!H155-'d3-10'!H150</f>
        <v>0</v>
      </c>
      <c r="I155" s="311">
        <f>'d3'!I155-'d3-10'!I150</f>
        <v>0</v>
      </c>
      <c r="J155" s="311">
        <f>'d3'!J155-'d3-10'!J150</f>
        <v>189574</v>
      </c>
      <c r="K155" s="311">
        <f>'d3'!K155-'d3-10'!K150</f>
        <v>189574</v>
      </c>
      <c r="L155" s="311">
        <f>'d3'!L155-'d3-10'!L150</f>
        <v>0</v>
      </c>
      <c r="M155" s="311">
        <f>'d3'!M155-'d3-10'!M150</f>
        <v>0</v>
      </c>
      <c r="N155" s="311">
        <f>'d3'!N155-'d3-10'!N150</f>
        <v>0</v>
      </c>
      <c r="O155" s="311">
        <f>'d3'!O155-'d3-10'!O150</f>
        <v>189574</v>
      </c>
      <c r="P155" s="311">
        <f>'d3'!P155-'d3-10'!P150</f>
        <v>189574</v>
      </c>
    </row>
    <row r="156" spans="1:16" ht="409.5" x14ac:dyDescent="0.2">
      <c r="A156" s="476" t="s">
        <v>724</v>
      </c>
      <c r="B156" s="476" t="s">
        <v>525</v>
      </c>
      <c r="C156" s="476" t="s">
        <v>250</v>
      </c>
      <c r="D156" s="267" t="s">
        <v>536</v>
      </c>
      <c r="E156" s="491">
        <f>'d3'!E156-'d3-10'!E151</f>
        <v>0</v>
      </c>
      <c r="F156" s="491">
        <f>'d3'!F156-'d3-10'!F151</f>
        <v>0</v>
      </c>
      <c r="G156" s="491">
        <f>'d3'!G156-'d3-10'!G151</f>
        <v>0</v>
      </c>
      <c r="H156" s="491">
        <f>'d3'!H156-'d3-10'!H151</f>
        <v>0</v>
      </c>
      <c r="I156" s="491">
        <f>'d3'!I156-'d3-10'!I151</f>
        <v>0</v>
      </c>
      <c r="J156" s="491">
        <f>'d3'!J156-'d3-10'!J151</f>
        <v>0</v>
      </c>
      <c r="K156" s="491">
        <f>'d3'!K156-'d3-10'!K151</f>
        <v>0</v>
      </c>
      <c r="L156" s="491">
        <f>'d3'!L156-'d3-10'!L151</f>
        <v>0</v>
      </c>
      <c r="M156" s="491">
        <f>'d3'!M156-'d3-10'!M151</f>
        <v>0</v>
      </c>
      <c r="N156" s="491">
        <f>'d3'!N156-'d3-10'!N151</f>
        <v>0</v>
      </c>
      <c r="O156" s="491">
        <f>'d3'!O156-'d3-10'!O151</f>
        <v>0</v>
      </c>
      <c r="P156" s="491">
        <f>'d3'!P156-'d3-10'!P151</f>
        <v>0</v>
      </c>
    </row>
    <row r="157" spans="1:16" ht="137.25" x14ac:dyDescent="0.2">
      <c r="A157" s="513"/>
      <c r="B157" s="513"/>
      <c r="C157" s="513"/>
      <c r="D157" s="268" t="s">
        <v>537</v>
      </c>
      <c r="E157" s="469"/>
      <c r="F157" s="469"/>
      <c r="G157" s="469"/>
      <c r="H157" s="469"/>
      <c r="I157" s="469"/>
      <c r="J157" s="469"/>
      <c r="K157" s="469"/>
      <c r="L157" s="469"/>
      <c r="M157" s="469"/>
      <c r="N157" s="469"/>
      <c r="O157" s="469"/>
      <c r="P157" s="469"/>
    </row>
    <row r="158" spans="1:16" ht="91.5" x14ac:dyDescent="0.2">
      <c r="A158" s="442" t="s">
        <v>379</v>
      </c>
      <c r="B158" s="442" t="s">
        <v>380</v>
      </c>
      <c r="C158" s="442" t="s">
        <v>381</v>
      </c>
      <c r="D158" s="442" t="s">
        <v>378</v>
      </c>
      <c r="E158" s="311">
        <f>'d3'!E158-'d3-10'!E153</f>
        <v>0</v>
      </c>
      <c r="F158" s="311">
        <f>'d3'!F158-'d3-10'!F153</f>
        <v>0</v>
      </c>
      <c r="G158" s="311">
        <f>'d3'!G158-'d3-10'!G153</f>
        <v>0</v>
      </c>
      <c r="H158" s="311">
        <f>'d3'!H158-'d3-10'!H153</f>
        <v>0</v>
      </c>
      <c r="I158" s="311">
        <f>'d3'!I158-'d3-10'!I153</f>
        <v>0</v>
      </c>
      <c r="J158" s="311">
        <f>'d3'!J158-'d3-10'!J153</f>
        <v>0</v>
      </c>
      <c r="K158" s="311">
        <f>'d3'!K158-'d3-10'!K153</f>
        <v>0</v>
      </c>
      <c r="L158" s="311">
        <f>'d3'!L158-'d3-10'!L153</f>
        <v>0</v>
      </c>
      <c r="M158" s="311">
        <f>'d3'!M158-'d3-10'!M153</f>
        <v>0</v>
      </c>
      <c r="N158" s="311">
        <f>'d3'!N158-'d3-10'!N153</f>
        <v>0</v>
      </c>
      <c r="O158" s="311">
        <f>'d3'!O158-'d3-10'!O153</f>
        <v>0</v>
      </c>
      <c r="P158" s="311">
        <f>'d3'!P158-'d3-10'!P153</f>
        <v>0</v>
      </c>
    </row>
    <row r="159" spans="1:16" ht="270" x14ac:dyDescent="0.2">
      <c r="A159" s="327" t="s">
        <v>44</v>
      </c>
      <c r="B159" s="327"/>
      <c r="C159" s="327"/>
      <c r="D159" s="328" t="s">
        <v>619</v>
      </c>
      <c r="E159" s="329">
        <f>E160</f>
        <v>-484980</v>
      </c>
      <c r="F159" s="329">
        <f t="shared" ref="F159:G159" si="38">F160</f>
        <v>-484980</v>
      </c>
      <c r="G159" s="329">
        <f t="shared" si="38"/>
        <v>-50000</v>
      </c>
      <c r="H159" s="329">
        <f>H160</f>
        <v>-3830</v>
      </c>
      <c r="I159" s="329">
        <f t="shared" ref="I159" si="39">I160</f>
        <v>0</v>
      </c>
      <c r="J159" s="329">
        <f>J160</f>
        <v>2777480</v>
      </c>
      <c r="K159" s="329">
        <f>K160</f>
        <v>2777480</v>
      </c>
      <c r="L159" s="329">
        <f>L160</f>
        <v>0</v>
      </c>
      <c r="M159" s="329">
        <f t="shared" ref="M159" si="40">M160</f>
        <v>0</v>
      </c>
      <c r="N159" s="329">
        <f>N160</f>
        <v>0</v>
      </c>
      <c r="O159" s="329">
        <f>O160</f>
        <v>2777480</v>
      </c>
      <c r="P159" s="329">
        <f t="shared" ref="P159" si="41">P160</f>
        <v>2292500</v>
      </c>
    </row>
    <row r="160" spans="1:16" ht="270" x14ac:dyDescent="0.2">
      <c r="A160" s="324" t="s">
        <v>45</v>
      </c>
      <c r="B160" s="324"/>
      <c r="C160" s="324"/>
      <c r="D160" s="325" t="s">
        <v>618</v>
      </c>
      <c r="E160" s="326">
        <f>SUM(E161:E167)</f>
        <v>-484980</v>
      </c>
      <c r="F160" s="326">
        <f t="shared" ref="F160:O160" si="42">SUM(F161:F167)</f>
        <v>-484980</v>
      </c>
      <c r="G160" s="326">
        <f t="shared" si="42"/>
        <v>-50000</v>
      </c>
      <c r="H160" s="326">
        <f t="shared" si="42"/>
        <v>-3830</v>
      </c>
      <c r="I160" s="326">
        <f t="shared" si="42"/>
        <v>0</v>
      </c>
      <c r="J160" s="326">
        <f t="shared" ref="J160" si="43">L160+O160</f>
        <v>2777480</v>
      </c>
      <c r="K160" s="326">
        <f t="shared" si="42"/>
        <v>2777480</v>
      </c>
      <c r="L160" s="326">
        <f t="shared" si="42"/>
        <v>0</v>
      </c>
      <c r="M160" s="326">
        <f t="shared" si="42"/>
        <v>0</v>
      </c>
      <c r="N160" s="326">
        <f t="shared" si="42"/>
        <v>0</v>
      </c>
      <c r="O160" s="326">
        <f t="shared" si="42"/>
        <v>2777480</v>
      </c>
      <c r="P160" s="326">
        <f t="shared" ref="P160" si="44">E160+J160</f>
        <v>2292500</v>
      </c>
    </row>
    <row r="161" spans="1:16" ht="228.75" x14ac:dyDescent="0.2">
      <c r="A161" s="442" t="s">
        <v>713</v>
      </c>
      <c r="B161" s="442" t="s">
        <v>335</v>
      </c>
      <c r="C161" s="442" t="s">
        <v>333</v>
      </c>
      <c r="D161" s="442" t="s">
        <v>334</v>
      </c>
      <c r="E161" s="311">
        <f>'d3'!E161-'d3-10'!E156</f>
        <v>-89130</v>
      </c>
      <c r="F161" s="311">
        <f>'d3'!F161-'d3-10'!F156</f>
        <v>-89130</v>
      </c>
      <c r="G161" s="311">
        <f>'d3'!G161-'d3-10'!G156</f>
        <v>-50000</v>
      </c>
      <c r="H161" s="311">
        <f>'d3'!H161-'d3-10'!H156</f>
        <v>-3830</v>
      </c>
      <c r="I161" s="311">
        <f>'d3'!I161-'d3-10'!I156</f>
        <v>0</v>
      </c>
      <c r="J161" s="311">
        <f>'d3'!J161-'d3-10'!J156</f>
        <v>-3820</v>
      </c>
      <c r="K161" s="311">
        <f>'d3'!K161-'d3-10'!K156</f>
        <v>-3820</v>
      </c>
      <c r="L161" s="311">
        <f>'d3'!L161-'d3-10'!L156</f>
        <v>0</v>
      </c>
      <c r="M161" s="311">
        <f>'d3'!M161-'d3-10'!M156</f>
        <v>0</v>
      </c>
      <c r="N161" s="311">
        <f>'d3'!N161-'d3-10'!N156</f>
        <v>0</v>
      </c>
      <c r="O161" s="311">
        <f>'d3'!O161-'d3-10'!O156</f>
        <v>-3820</v>
      </c>
      <c r="P161" s="311">
        <f>'d3'!P161-'d3-10'!P156</f>
        <v>-92950</v>
      </c>
    </row>
    <row r="162" spans="1:16" ht="91.5" x14ac:dyDescent="0.2">
      <c r="A162" s="442" t="s">
        <v>804</v>
      </c>
      <c r="B162" s="442" t="s">
        <v>71</v>
      </c>
      <c r="C162" s="442" t="s">
        <v>70</v>
      </c>
      <c r="D162" s="442" t="s">
        <v>348</v>
      </c>
      <c r="E162" s="311">
        <f>'d3'!E162-'d3-10'!E157</f>
        <v>-395850</v>
      </c>
      <c r="F162" s="311">
        <f>'d3'!F162-'d3-10'!F157</f>
        <v>-395850</v>
      </c>
      <c r="G162" s="311">
        <f>'d3'!G162-'d3-10'!G157</f>
        <v>0</v>
      </c>
      <c r="H162" s="311">
        <f>'d3'!H162-'d3-10'!H157</f>
        <v>0</v>
      </c>
      <c r="I162" s="311">
        <f>'d3'!I162-'d3-10'!I157</f>
        <v>0</v>
      </c>
      <c r="J162" s="311">
        <f>'d3'!J162-'d3-10'!J157</f>
        <v>0</v>
      </c>
      <c r="K162" s="311">
        <f>'d3'!K162-'d3-10'!K157</f>
        <v>0</v>
      </c>
      <c r="L162" s="311">
        <f>'d3'!L162-'d3-10'!L157</f>
        <v>0</v>
      </c>
      <c r="M162" s="311">
        <f>'d3'!M162-'d3-10'!M157</f>
        <v>0</v>
      </c>
      <c r="N162" s="311">
        <f>'d3'!N162-'d3-10'!N157</f>
        <v>0</v>
      </c>
      <c r="O162" s="311">
        <f>'d3'!O162-'d3-10'!O157</f>
        <v>0</v>
      </c>
      <c r="P162" s="311">
        <f>'d3'!P162-'d3-10'!P157</f>
        <v>-395850</v>
      </c>
    </row>
    <row r="163" spans="1:16" ht="274.5" x14ac:dyDescent="0.2">
      <c r="A163" s="442" t="s">
        <v>808</v>
      </c>
      <c r="B163" s="442" t="s">
        <v>810</v>
      </c>
      <c r="C163" s="442" t="s">
        <v>285</v>
      </c>
      <c r="D163" s="442" t="s">
        <v>809</v>
      </c>
      <c r="E163" s="311">
        <f>'d3'!E163-'d3-10'!E158</f>
        <v>0</v>
      </c>
      <c r="F163" s="311">
        <f>'d3'!F163-'d3-10'!F158</f>
        <v>0</v>
      </c>
      <c r="G163" s="311">
        <f>'d3'!G163-'d3-10'!G158</f>
        <v>0</v>
      </c>
      <c r="H163" s="311">
        <f>'d3'!H163-'d3-10'!H158</f>
        <v>0</v>
      </c>
      <c r="I163" s="311">
        <f>'d3'!I163-'d3-10'!I158</f>
        <v>0</v>
      </c>
      <c r="J163" s="311">
        <f>'d3'!J163-'d3-10'!J158</f>
        <v>3500000</v>
      </c>
      <c r="K163" s="311">
        <f>'d3'!K163-'d3-10'!K158</f>
        <v>3500000</v>
      </c>
      <c r="L163" s="311">
        <f>'d3'!L163-'d3-10'!L158</f>
        <v>0</v>
      </c>
      <c r="M163" s="311">
        <f>'d3'!M163-'d3-10'!M158</f>
        <v>0</v>
      </c>
      <c r="N163" s="311">
        <f>'d3'!N163-'d3-10'!N158</f>
        <v>0</v>
      </c>
      <c r="O163" s="311">
        <f>'d3'!O163-'d3-10'!O158</f>
        <v>3500000</v>
      </c>
      <c r="P163" s="311">
        <f>'d3'!P163-'d3-10'!P158</f>
        <v>3500000</v>
      </c>
    </row>
    <row r="164" spans="1:16" ht="91.5" x14ac:dyDescent="0.2">
      <c r="A164" s="442" t="s">
        <v>463</v>
      </c>
      <c r="B164" s="442" t="s">
        <v>464</v>
      </c>
      <c r="C164" s="442" t="s">
        <v>444</v>
      </c>
      <c r="D164" s="442" t="s">
        <v>462</v>
      </c>
      <c r="E164" s="311">
        <f>'d3'!E164-'d3-10'!E159</f>
        <v>0</v>
      </c>
      <c r="F164" s="311">
        <f>'d3'!F164-'d3-10'!F159</f>
        <v>0</v>
      </c>
      <c r="G164" s="311">
        <f>'d3'!G164-'d3-10'!G159</f>
        <v>0</v>
      </c>
      <c r="H164" s="311">
        <f>'d3'!H164-'d3-10'!H159</f>
        <v>0</v>
      </c>
      <c r="I164" s="311">
        <f>'d3'!I164-'d3-10'!I159</f>
        <v>0</v>
      </c>
      <c r="J164" s="311">
        <f>'d3'!J164-'d3-10'!J159</f>
        <v>1980000</v>
      </c>
      <c r="K164" s="311">
        <f>'d3'!K164-'d3-10'!K159</f>
        <v>1980000</v>
      </c>
      <c r="L164" s="311">
        <f>'d3'!L164-'d3-10'!L159</f>
        <v>0</v>
      </c>
      <c r="M164" s="311">
        <f>'d3'!M164-'d3-10'!M159</f>
        <v>0</v>
      </c>
      <c r="N164" s="311">
        <f>'d3'!N164-'d3-10'!N159</f>
        <v>0</v>
      </c>
      <c r="O164" s="311">
        <f>'d3'!O164-'d3-10'!O159</f>
        <v>1980000</v>
      </c>
      <c r="P164" s="311">
        <f>'d3'!P164-'d3-10'!P159</f>
        <v>1980000</v>
      </c>
    </row>
    <row r="165" spans="1:16" ht="137.25" x14ac:dyDescent="0.2">
      <c r="A165" s="442" t="s">
        <v>465</v>
      </c>
      <c r="B165" s="442" t="s">
        <v>466</v>
      </c>
      <c r="C165" s="442" t="s">
        <v>444</v>
      </c>
      <c r="D165" s="442" t="s">
        <v>467</v>
      </c>
      <c r="E165" s="311">
        <f>'d3'!E165-'d3-10'!E160</f>
        <v>0</v>
      </c>
      <c r="F165" s="311">
        <f>'d3'!F165-'d3-10'!F160</f>
        <v>0</v>
      </c>
      <c r="G165" s="311">
        <f>'d3'!G165-'d3-10'!G160</f>
        <v>0</v>
      </c>
      <c r="H165" s="311">
        <f>'d3'!H165-'d3-10'!H160</f>
        <v>0</v>
      </c>
      <c r="I165" s="311">
        <f>'d3'!I165-'d3-10'!I160</f>
        <v>0</v>
      </c>
      <c r="J165" s="311">
        <f>'d3'!J165-'d3-10'!J160</f>
        <v>-450000</v>
      </c>
      <c r="K165" s="311">
        <f>'d3'!K165-'d3-10'!K160</f>
        <v>-450000</v>
      </c>
      <c r="L165" s="311">
        <f>'d3'!L165-'d3-10'!L160</f>
        <v>0</v>
      </c>
      <c r="M165" s="311">
        <f>'d3'!M165-'d3-10'!M160</f>
        <v>0</v>
      </c>
      <c r="N165" s="311">
        <f>'d3'!N165-'d3-10'!N160</f>
        <v>0</v>
      </c>
      <c r="O165" s="311">
        <f>'d3'!O165-'d3-10'!O160</f>
        <v>-450000</v>
      </c>
      <c r="P165" s="311">
        <f>'d3'!P165-'d3-10'!P160</f>
        <v>-450000</v>
      </c>
    </row>
    <row r="166" spans="1:16" ht="91.5" x14ac:dyDescent="0.2">
      <c r="A166" s="442" t="s">
        <v>468</v>
      </c>
      <c r="B166" s="442" t="s">
        <v>469</v>
      </c>
      <c r="C166" s="442" t="s">
        <v>444</v>
      </c>
      <c r="D166" s="442" t="s">
        <v>815</v>
      </c>
      <c r="E166" s="311">
        <f>'d3'!E166-'d3-10'!E161</f>
        <v>0</v>
      </c>
      <c r="F166" s="311">
        <f>'d3'!F166-'d3-10'!F161</f>
        <v>0</v>
      </c>
      <c r="G166" s="311">
        <f>'d3'!G166-'d3-10'!G161</f>
        <v>0</v>
      </c>
      <c r="H166" s="311">
        <f>'d3'!H166-'d3-10'!H161</f>
        <v>0</v>
      </c>
      <c r="I166" s="311">
        <f>'d3'!I166-'d3-10'!I161</f>
        <v>0</v>
      </c>
      <c r="J166" s="311">
        <f>'d3'!J166-'d3-10'!J161</f>
        <v>-2248700</v>
      </c>
      <c r="K166" s="311">
        <f>'d3'!K166-'d3-10'!K161</f>
        <v>-2248700</v>
      </c>
      <c r="L166" s="311">
        <f>'d3'!L166-'d3-10'!L161</f>
        <v>0</v>
      </c>
      <c r="M166" s="311">
        <f>'d3'!M166-'d3-10'!M161</f>
        <v>0</v>
      </c>
      <c r="N166" s="311">
        <f>'d3'!N166-'d3-10'!N161</f>
        <v>0</v>
      </c>
      <c r="O166" s="311">
        <f>'d3'!O166-'d3-10'!O161</f>
        <v>-2248700</v>
      </c>
      <c r="P166" s="311">
        <f>'d3'!P166-'d3-10'!P161</f>
        <v>-2248700</v>
      </c>
    </row>
    <row r="167" spans="1:16" ht="137.25" x14ac:dyDescent="0.2">
      <c r="A167" s="442" t="s">
        <v>903</v>
      </c>
      <c r="B167" s="442" t="s">
        <v>559</v>
      </c>
      <c r="C167" s="442" t="s">
        <v>250</v>
      </c>
      <c r="D167" s="442" t="s">
        <v>392</v>
      </c>
      <c r="E167" s="311">
        <f>'d3'!E167-'d3-10'!E162</f>
        <v>0</v>
      </c>
      <c r="F167" s="311">
        <f>'d3'!F167-'d3-10'!F162</f>
        <v>0</v>
      </c>
      <c r="G167" s="311">
        <f>'d3'!G167-'d3-10'!G162</f>
        <v>0</v>
      </c>
      <c r="H167" s="311">
        <f>'d3'!H167-'d3-10'!H162</f>
        <v>0</v>
      </c>
      <c r="I167" s="311">
        <f>'d3'!I167-'d3-10'!I162</f>
        <v>0</v>
      </c>
      <c r="J167" s="311">
        <f>'d3'!J167-'d3-10'!J162</f>
        <v>0</v>
      </c>
      <c r="K167" s="311">
        <f>'d3'!K167-'d3-10'!K162</f>
        <v>0</v>
      </c>
      <c r="L167" s="311">
        <f>'d3'!L167-'d3-10'!L162</f>
        <v>0</v>
      </c>
      <c r="M167" s="311">
        <f>'d3'!M167-'d3-10'!M162</f>
        <v>0</v>
      </c>
      <c r="N167" s="311">
        <f>'d3'!N167-'d3-10'!N162</f>
        <v>0</v>
      </c>
      <c r="O167" s="311">
        <f>'d3'!O167-'d3-10'!O162</f>
        <v>0</v>
      </c>
      <c r="P167" s="311">
        <f>'d3'!P167-'d3-10'!P162</f>
        <v>0</v>
      </c>
    </row>
    <row r="168" spans="1:16" ht="225" x14ac:dyDescent="0.2">
      <c r="A168" s="327" t="s">
        <v>240</v>
      </c>
      <c r="B168" s="327"/>
      <c r="C168" s="327"/>
      <c r="D168" s="328" t="s">
        <v>46</v>
      </c>
      <c r="E168" s="329">
        <f>E169</f>
        <v>-407500</v>
      </c>
      <c r="F168" s="329">
        <f t="shared" ref="F168:G168" si="45">F169</f>
        <v>-407500</v>
      </c>
      <c r="G168" s="329">
        <f t="shared" si="45"/>
        <v>-287300</v>
      </c>
      <c r="H168" s="329">
        <f>H169</f>
        <v>0</v>
      </c>
      <c r="I168" s="329">
        <f t="shared" ref="I168" si="46">I169</f>
        <v>0</v>
      </c>
      <c r="J168" s="329">
        <f>J169</f>
        <v>11900</v>
      </c>
      <c r="K168" s="329">
        <f>K169</f>
        <v>11900</v>
      </c>
      <c r="L168" s="329">
        <f>L169</f>
        <v>0</v>
      </c>
      <c r="M168" s="329">
        <f t="shared" ref="M168" si="47">M169</f>
        <v>0</v>
      </c>
      <c r="N168" s="329">
        <f>N169</f>
        <v>0</v>
      </c>
      <c r="O168" s="329">
        <f>O169</f>
        <v>11900</v>
      </c>
      <c r="P168" s="329">
        <f t="shared" ref="P168" si="48">P169</f>
        <v>-395600</v>
      </c>
    </row>
    <row r="169" spans="1:16" ht="225" x14ac:dyDescent="0.2">
      <c r="A169" s="324" t="s">
        <v>241</v>
      </c>
      <c r="B169" s="324"/>
      <c r="C169" s="324"/>
      <c r="D169" s="325" t="s">
        <v>64</v>
      </c>
      <c r="E169" s="326">
        <f>SUM(E170:E172)</f>
        <v>-407500</v>
      </c>
      <c r="F169" s="326">
        <f t="shared" ref="F169:O169" si="49">SUM(F170:F172)</f>
        <v>-407500</v>
      </c>
      <c r="G169" s="326">
        <f t="shared" si="49"/>
        <v>-287300</v>
      </c>
      <c r="H169" s="326">
        <f t="shared" si="49"/>
        <v>0</v>
      </c>
      <c r="I169" s="326">
        <f t="shared" si="49"/>
        <v>0</v>
      </c>
      <c r="J169" s="326">
        <f>L169+O169</f>
        <v>11900</v>
      </c>
      <c r="K169" s="326">
        <f t="shared" si="49"/>
        <v>11900</v>
      </c>
      <c r="L169" s="326">
        <f t="shared" si="49"/>
        <v>0</v>
      </c>
      <c r="M169" s="326">
        <f t="shared" si="49"/>
        <v>0</v>
      </c>
      <c r="N169" s="326">
        <f t="shared" si="49"/>
        <v>0</v>
      </c>
      <c r="O169" s="326">
        <f t="shared" si="49"/>
        <v>11900</v>
      </c>
      <c r="P169" s="326">
        <f>E169+J169</f>
        <v>-395600</v>
      </c>
    </row>
    <row r="170" spans="1:16" ht="228.75" x14ac:dyDescent="0.2">
      <c r="A170" s="442" t="s">
        <v>715</v>
      </c>
      <c r="B170" s="442" t="s">
        <v>335</v>
      </c>
      <c r="C170" s="442" t="s">
        <v>333</v>
      </c>
      <c r="D170" s="442" t="s">
        <v>334</v>
      </c>
      <c r="E170" s="311">
        <f>'d3'!E170-'d3-10'!E165</f>
        <v>-407500</v>
      </c>
      <c r="F170" s="311">
        <f>'d3'!F170-'d3-10'!F165</f>
        <v>-407500</v>
      </c>
      <c r="G170" s="311">
        <f>'d3'!G170-'d3-10'!G165</f>
        <v>-287300</v>
      </c>
      <c r="H170" s="311">
        <f>'d3'!H170-'d3-10'!H165</f>
        <v>0</v>
      </c>
      <c r="I170" s="311">
        <f>'d3'!I170-'d3-10'!I165</f>
        <v>0</v>
      </c>
      <c r="J170" s="311">
        <f>'d3'!J170-'d3-10'!J165</f>
        <v>11900</v>
      </c>
      <c r="K170" s="311">
        <f>'d3'!K170-'d3-10'!K165</f>
        <v>11900</v>
      </c>
      <c r="L170" s="311">
        <f>'d3'!L170-'d3-10'!L165</f>
        <v>0</v>
      </c>
      <c r="M170" s="311">
        <f>'d3'!M170-'d3-10'!M165</f>
        <v>0</v>
      </c>
      <c r="N170" s="311">
        <f>'d3'!N170-'d3-10'!N165</f>
        <v>0</v>
      </c>
      <c r="O170" s="311">
        <f>'d3'!O170-'d3-10'!O165</f>
        <v>11900</v>
      </c>
      <c r="P170" s="311">
        <f>'d3'!P170-'d3-10'!P165</f>
        <v>-395600</v>
      </c>
    </row>
    <row r="171" spans="1:16" ht="91.5" x14ac:dyDescent="0.2">
      <c r="A171" s="442" t="s">
        <v>946</v>
      </c>
      <c r="B171" s="442" t="s">
        <v>71</v>
      </c>
      <c r="C171" s="442" t="s">
        <v>70</v>
      </c>
      <c r="D171" s="442" t="s">
        <v>348</v>
      </c>
      <c r="E171" s="311">
        <f>'d3'!E171-'d3-10'!E166</f>
        <v>0</v>
      </c>
      <c r="F171" s="311">
        <f>'d3'!F171-'d3-10'!F166</f>
        <v>0</v>
      </c>
      <c r="G171" s="311">
        <f>'d3'!G171-'d3-10'!G166</f>
        <v>0</v>
      </c>
      <c r="H171" s="311">
        <f>'d3'!H171-'d3-10'!H166</f>
        <v>0</v>
      </c>
      <c r="I171" s="311">
        <f>'d3'!I171-'d3-10'!I166</f>
        <v>0</v>
      </c>
      <c r="J171" s="311">
        <f>'d3'!J171-'d3-10'!J166</f>
        <v>0</v>
      </c>
      <c r="K171" s="311">
        <f>'d3'!K171-'d3-10'!K166</f>
        <v>0</v>
      </c>
      <c r="L171" s="311">
        <f>'d3'!L171-'d3-10'!L166</f>
        <v>0</v>
      </c>
      <c r="M171" s="311">
        <f>'d3'!M171-'d3-10'!M166</f>
        <v>0</v>
      </c>
      <c r="N171" s="311">
        <f>'d3'!N171-'d3-10'!N166</f>
        <v>0</v>
      </c>
      <c r="O171" s="311">
        <f>'d3'!O171-'d3-10'!O166</f>
        <v>0</v>
      </c>
      <c r="P171" s="311">
        <f>'d3'!P171-'d3-10'!P166</f>
        <v>0</v>
      </c>
    </row>
    <row r="172" spans="1:16" ht="137.25" x14ac:dyDescent="0.2">
      <c r="A172" s="442" t="s">
        <v>454</v>
      </c>
      <c r="B172" s="442" t="s">
        <v>455</v>
      </c>
      <c r="C172" s="442" t="s">
        <v>444</v>
      </c>
      <c r="D172" s="442" t="s">
        <v>456</v>
      </c>
      <c r="E172" s="311">
        <f>'d3'!E172-'d3-10'!E167</f>
        <v>0</v>
      </c>
      <c r="F172" s="311">
        <f>'d3'!F172-'d3-10'!F167</f>
        <v>0</v>
      </c>
      <c r="G172" s="311">
        <f>'d3'!G172-'d3-10'!G167</f>
        <v>0</v>
      </c>
      <c r="H172" s="311">
        <f>'d3'!H172-'d3-10'!H167</f>
        <v>0</v>
      </c>
      <c r="I172" s="311">
        <f>'d3'!I172-'d3-10'!I167</f>
        <v>0</v>
      </c>
      <c r="J172" s="311">
        <f>'d3'!J172-'d3-10'!J167</f>
        <v>0</v>
      </c>
      <c r="K172" s="311">
        <f>'d3'!K172-'d3-10'!K167</f>
        <v>0</v>
      </c>
      <c r="L172" s="311">
        <f>'d3'!L172-'d3-10'!L167</f>
        <v>0</v>
      </c>
      <c r="M172" s="311">
        <f>'d3'!M172-'d3-10'!M167</f>
        <v>0</v>
      </c>
      <c r="N172" s="311">
        <f>'d3'!N172-'d3-10'!N167</f>
        <v>0</v>
      </c>
      <c r="O172" s="311">
        <f>'d3'!O172-'d3-10'!O167</f>
        <v>0</v>
      </c>
      <c r="P172" s="311">
        <f>'d3'!P172-'d3-10'!P167</f>
        <v>0</v>
      </c>
    </row>
    <row r="173" spans="1:16" ht="135" x14ac:dyDescent="0.2">
      <c r="A173" s="327" t="s">
        <v>246</v>
      </c>
      <c r="B173" s="327"/>
      <c r="C173" s="327"/>
      <c r="D173" s="328" t="s">
        <v>563</v>
      </c>
      <c r="E173" s="329">
        <f>E174</f>
        <v>0</v>
      </c>
      <c r="F173" s="329">
        <f t="shared" ref="F173:G173" si="50">F174</f>
        <v>0</v>
      </c>
      <c r="G173" s="329">
        <f t="shared" si="50"/>
        <v>0</v>
      </c>
      <c r="H173" s="329">
        <f>H174</f>
        <v>0</v>
      </c>
      <c r="I173" s="329">
        <f t="shared" ref="I173" si="51">I174</f>
        <v>0</v>
      </c>
      <c r="J173" s="329">
        <f>J174</f>
        <v>0</v>
      </c>
      <c r="K173" s="329">
        <f>K174</f>
        <v>0</v>
      </c>
      <c r="L173" s="329">
        <f>L174</f>
        <v>0</v>
      </c>
      <c r="M173" s="329">
        <f t="shared" ref="M173" si="52">M174</f>
        <v>0</v>
      </c>
      <c r="N173" s="329">
        <f>N174</f>
        <v>0</v>
      </c>
      <c r="O173" s="329">
        <f>O174</f>
        <v>0</v>
      </c>
      <c r="P173" s="329">
        <f t="shared" ref="P173" si="53">P174</f>
        <v>0</v>
      </c>
    </row>
    <row r="174" spans="1:16" ht="135" x14ac:dyDescent="0.2">
      <c r="A174" s="324" t="s">
        <v>247</v>
      </c>
      <c r="B174" s="324"/>
      <c r="C174" s="324"/>
      <c r="D174" s="325" t="s">
        <v>564</v>
      </c>
      <c r="E174" s="326">
        <f>SUM(E175:E179)</f>
        <v>0</v>
      </c>
      <c r="F174" s="326">
        <f t="shared" ref="F174:O174" si="54">SUM(F175:F179)</f>
        <v>0</v>
      </c>
      <c r="G174" s="326">
        <f t="shared" si="54"/>
        <v>0</v>
      </c>
      <c r="H174" s="326">
        <f t="shared" si="54"/>
        <v>0</v>
      </c>
      <c r="I174" s="326">
        <f t="shared" si="54"/>
        <v>0</v>
      </c>
      <c r="J174" s="326">
        <f t="shared" ref="J174:J175" si="55">L174+O174</f>
        <v>0</v>
      </c>
      <c r="K174" s="326">
        <f t="shared" si="54"/>
        <v>0</v>
      </c>
      <c r="L174" s="326">
        <f t="shared" si="54"/>
        <v>0</v>
      </c>
      <c r="M174" s="326">
        <f t="shared" si="54"/>
        <v>0</v>
      </c>
      <c r="N174" s="326">
        <f t="shared" si="54"/>
        <v>0</v>
      </c>
      <c r="O174" s="326">
        <f t="shared" si="54"/>
        <v>0</v>
      </c>
      <c r="P174" s="326">
        <f t="shared" ref="P174:P175" si="56">E174+J174</f>
        <v>0</v>
      </c>
    </row>
    <row r="175" spans="1:16" ht="137.25" hidden="1" x14ac:dyDescent="0.2">
      <c r="A175" s="251" t="s">
        <v>558</v>
      </c>
      <c r="B175" s="251" t="s">
        <v>559</v>
      </c>
      <c r="C175" s="251" t="s">
        <v>250</v>
      </c>
      <c r="D175" s="251" t="s">
        <v>392</v>
      </c>
      <c r="E175" s="318">
        <f>F175</f>
        <v>0</v>
      </c>
      <c r="F175" s="316"/>
      <c r="G175" s="316"/>
      <c r="H175" s="316"/>
      <c r="I175" s="316"/>
      <c r="J175" s="318">
        <f t="shared" si="55"/>
        <v>0</v>
      </c>
      <c r="K175" s="316">
        <f>(2000000)-2000000</f>
        <v>0</v>
      </c>
      <c r="L175" s="316"/>
      <c r="M175" s="316"/>
      <c r="N175" s="316"/>
      <c r="O175" s="323">
        <f>K175</f>
        <v>0</v>
      </c>
      <c r="P175" s="318">
        <f t="shared" si="56"/>
        <v>0</v>
      </c>
    </row>
    <row r="176" spans="1:16" ht="91.5" x14ac:dyDescent="0.2">
      <c r="A176" s="442" t="s">
        <v>390</v>
      </c>
      <c r="B176" s="442" t="s">
        <v>391</v>
      </c>
      <c r="C176" s="442" t="s">
        <v>389</v>
      </c>
      <c r="D176" s="442" t="s">
        <v>388</v>
      </c>
      <c r="E176" s="311">
        <f>'d3'!E176-'d3-10'!E171</f>
        <v>0</v>
      </c>
      <c r="F176" s="311">
        <f>'d3'!F176-'d3-10'!F171</f>
        <v>0</v>
      </c>
      <c r="G176" s="311">
        <f>'d3'!G176-'d3-10'!G171</f>
        <v>0</v>
      </c>
      <c r="H176" s="311">
        <f>'d3'!H176-'d3-10'!H171</f>
        <v>0</v>
      </c>
      <c r="I176" s="311">
        <f>'d3'!I176-'d3-10'!I171</f>
        <v>0</v>
      </c>
      <c r="J176" s="311">
        <f>'d3'!J176-'d3-10'!J171</f>
        <v>0</v>
      </c>
      <c r="K176" s="311">
        <f>'d3'!K176-'d3-10'!K171</f>
        <v>0</v>
      </c>
      <c r="L176" s="311">
        <f>'d3'!L176-'d3-10'!L171</f>
        <v>0</v>
      </c>
      <c r="M176" s="311">
        <f>'d3'!M176-'d3-10'!M171</f>
        <v>0</v>
      </c>
      <c r="N176" s="311">
        <f>'d3'!N176-'d3-10'!N171</f>
        <v>0</v>
      </c>
      <c r="O176" s="311">
        <f>'d3'!O176-'d3-10'!O171</f>
        <v>0</v>
      </c>
      <c r="P176" s="311">
        <f>'d3'!P176-'d3-10'!P171</f>
        <v>0</v>
      </c>
    </row>
    <row r="177" spans="1:16" ht="137.25" x14ac:dyDescent="0.2">
      <c r="A177" s="442" t="s">
        <v>382</v>
      </c>
      <c r="B177" s="442" t="s">
        <v>384</v>
      </c>
      <c r="C177" s="442" t="s">
        <v>312</v>
      </c>
      <c r="D177" s="442" t="s">
        <v>383</v>
      </c>
      <c r="E177" s="311">
        <f>'d3'!E177-'d3-10'!E172</f>
        <v>0</v>
      </c>
      <c r="F177" s="311">
        <f>'d3'!F177-'d3-10'!F172</f>
        <v>0</v>
      </c>
      <c r="G177" s="311">
        <f>'d3'!G177-'d3-10'!G172</f>
        <v>0</v>
      </c>
      <c r="H177" s="311">
        <f>'d3'!H177-'d3-10'!H172</f>
        <v>0</v>
      </c>
      <c r="I177" s="311">
        <f>'d3'!I177-'d3-10'!I172</f>
        <v>0</v>
      </c>
      <c r="J177" s="311">
        <f>'d3'!J177-'d3-10'!J172</f>
        <v>0</v>
      </c>
      <c r="K177" s="311">
        <f>'d3'!K177-'d3-10'!K172</f>
        <v>0</v>
      </c>
      <c r="L177" s="311">
        <f>'d3'!L177-'d3-10'!L172</f>
        <v>0</v>
      </c>
      <c r="M177" s="311">
        <f>'d3'!M177-'d3-10'!M172</f>
        <v>0</v>
      </c>
      <c r="N177" s="311">
        <f>'d3'!N177-'d3-10'!N172</f>
        <v>0</v>
      </c>
      <c r="O177" s="311">
        <f>'d3'!O177-'d3-10'!O172</f>
        <v>0</v>
      </c>
      <c r="P177" s="311">
        <f>'d3'!P177-'d3-10'!P172</f>
        <v>0</v>
      </c>
    </row>
    <row r="178" spans="1:16" ht="91.5" x14ac:dyDescent="0.2">
      <c r="A178" s="442" t="s">
        <v>386</v>
      </c>
      <c r="B178" s="442" t="s">
        <v>387</v>
      </c>
      <c r="C178" s="442" t="s">
        <v>250</v>
      </c>
      <c r="D178" s="442" t="s">
        <v>385</v>
      </c>
      <c r="E178" s="311">
        <f>'d3'!E178-'d3-10'!E173</f>
        <v>0</v>
      </c>
      <c r="F178" s="311">
        <f>'d3'!F178-'d3-10'!F173</f>
        <v>0</v>
      </c>
      <c r="G178" s="311">
        <f>'d3'!G178-'d3-10'!G173</f>
        <v>0</v>
      </c>
      <c r="H178" s="311">
        <f>'d3'!H178-'d3-10'!H173</f>
        <v>0</v>
      </c>
      <c r="I178" s="311">
        <f>'d3'!I178-'d3-10'!I173</f>
        <v>0</v>
      </c>
      <c r="J178" s="311">
        <f>'d3'!J178-'d3-10'!J173</f>
        <v>0</v>
      </c>
      <c r="K178" s="311">
        <f>'d3'!K178-'d3-10'!K173</f>
        <v>0</v>
      </c>
      <c r="L178" s="311">
        <f>'d3'!L178-'d3-10'!L173</f>
        <v>0</v>
      </c>
      <c r="M178" s="311">
        <f>'d3'!M178-'d3-10'!M173</f>
        <v>0</v>
      </c>
      <c r="N178" s="311">
        <f>'d3'!N178-'d3-10'!N173</f>
        <v>0</v>
      </c>
      <c r="O178" s="311">
        <f>'d3'!O178-'d3-10'!O173</f>
        <v>0</v>
      </c>
      <c r="P178" s="311">
        <f>'d3'!P178-'d3-10'!P173</f>
        <v>0</v>
      </c>
    </row>
    <row r="179" spans="1:16" ht="91.5" x14ac:dyDescent="0.2">
      <c r="A179" s="442" t="s">
        <v>886</v>
      </c>
      <c r="B179" s="442" t="s">
        <v>587</v>
      </c>
      <c r="C179" s="442" t="s">
        <v>71</v>
      </c>
      <c r="D179" s="442" t="s">
        <v>588</v>
      </c>
      <c r="E179" s="311">
        <f>'d3'!E179-'d3-10'!E174</f>
        <v>0</v>
      </c>
      <c r="F179" s="311">
        <f>'d3'!F179-'d3-10'!F174</f>
        <v>0</v>
      </c>
      <c r="G179" s="311">
        <f>'d3'!G179-'d3-10'!G174</f>
        <v>0</v>
      </c>
      <c r="H179" s="311">
        <f>'d3'!H179-'d3-10'!H174</f>
        <v>0</v>
      </c>
      <c r="I179" s="311">
        <f>'d3'!I179-'d3-10'!I174</f>
        <v>0</v>
      </c>
      <c r="J179" s="311">
        <f>'d3'!J179-'d3-10'!J174</f>
        <v>0</v>
      </c>
      <c r="K179" s="311">
        <f>'d3'!K179-'d3-10'!K174</f>
        <v>0</v>
      </c>
      <c r="L179" s="311">
        <f>'d3'!L179-'d3-10'!L174</f>
        <v>0</v>
      </c>
      <c r="M179" s="311">
        <f>'d3'!M179-'d3-10'!M174</f>
        <v>0</v>
      </c>
      <c r="N179" s="311">
        <f>'d3'!N179-'d3-10'!N174</f>
        <v>0</v>
      </c>
      <c r="O179" s="311">
        <f>'d3'!O179-'d3-10'!O174</f>
        <v>0</v>
      </c>
      <c r="P179" s="311">
        <f>'d3'!P179-'d3-10'!P174</f>
        <v>0</v>
      </c>
    </row>
    <row r="180" spans="1:16" ht="135" x14ac:dyDescent="0.2">
      <c r="A180" s="327" t="s">
        <v>244</v>
      </c>
      <c r="B180" s="327"/>
      <c r="C180" s="327"/>
      <c r="D180" s="328" t="s">
        <v>47</v>
      </c>
      <c r="E180" s="329">
        <f>E181</f>
        <v>91500</v>
      </c>
      <c r="F180" s="329">
        <f t="shared" ref="F180:G180" si="57">F181</f>
        <v>91500</v>
      </c>
      <c r="G180" s="329">
        <f t="shared" si="57"/>
        <v>136500</v>
      </c>
      <c r="H180" s="329">
        <f>H181</f>
        <v>-45000</v>
      </c>
      <c r="I180" s="329">
        <f t="shared" ref="I180" si="58">I181</f>
        <v>0</v>
      </c>
      <c r="J180" s="329">
        <f>J181</f>
        <v>0</v>
      </c>
      <c r="K180" s="329">
        <f>K181</f>
        <v>0</v>
      </c>
      <c r="L180" s="329">
        <f>L181</f>
        <v>-136800</v>
      </c>
      <c r="M180" s="329">
        <f t="shared" ref="M180" si="59">M181</f>
        <v>0</v>
      </c>
      <c r="N180" s="329">
        <f>N181</f>
        <v>0</v>
      </c>
      <c r="O180" s="329">
        <f>O181</f>
        <v>136800</v>
      </c>
      <c r="P180" s="329">
        <f t="shared" ref="P180" si="60">P181</f>
        <v>91500</v>
      </c>
    </row>
    <row r="181" spans="1:16" ht="135" x14ac:dyDescent="0.2">
      <c r="A181" s="324" t="s">
        <v>245</v>
      </c>
      <c r="B181" s="324"/>
      <c r="C181" s="324"/>
      <c r="D181" s="325" t="s">
        <v>65</v>
      </c>
      <c r="E181" s="326">
        <f t="shared" ref="E181:N181" si="61">SUM(E182:E186)</f>
        <v>91500</v>
      </c>
      <c r="F181" s="326">
        <f t="shared" si="61"/>
        <v>91500</v>
      </c>
      <c r="G181" s="326">
        <f t="shared" si="61"/>
        <v>136500</v>
      </c>
      <c r="H181" s="326">
        <f t="shared" si="61"/>
        <v>-45000</v>
      </c>
      <c r="I181" s="326">
        <f t="shared" si="61"/>
        <v>0</v>
      </c>
      <c r="J181" s="326">
        <f t="shared" ref="J181" si="62">L181+O181</f>
        <v>0</v>
      </c>
      <c r="K181" s="326">
        <f t="shared" si="61"/>
        <v>0</v>
      </c>
      <c r="L181" s="326">
        <f t="shared" si="61"/>
        <v>-136800</v>
      </c>
      <c r="M181" s="326">
        <f t="shared" si="61"/>
        <v>0</v>
      </c>
      <c r="N181" s="326">
        <f t="shared" si="61"/>
        <v>0</v>
      </c>
      <c r="O181" s="326">
        <f>SUM(O182:O186)</f>
        <v>136800</v>
      </c>
      <c r="P181" s="326">
        <f t="shared" ref="P181" si="63">E181+J181</f>
        <v>91500</v>
      </c>
    </row>
    <row r="182" spans="1:16" ht="228.75" x14ac:dyDescent="0.2">
      <c r="A182" s="442" t="s">
        <v>718</v>
      </c>
      <c r="B182" s="442" t="s">
        <v>335</v>
      </c>
      <c r="C182" s="442" t="s">
        <v>333</v>
      </c>
      <c r="D182" s="442" t="s">
        <v>334</v>
      </c>
      <c r="E182" s="311">
        <f>'d3'!E182-'d3-10'!E177</f>
        <v>91500</v>
      </c>
      <c r="F182" s="311">
        <f>'d3'!F182-'d3-10'!F177</f>
        <v>91500</v>
      </c>
      <c r="G182" s="311">
        <f>'d3'!G182-'d3-10'!G177</f>
        <v>136500</v>
      </c>
      <c r="H182" s="311">
        <f>'d3'!H182-'d3-10'!H177</f>
        <v>-45000</v>
      </c>
      <c r="I182" s="311">
        <f>'d3'!I182-'d3-10'!I177</f>
        <v>0</v>
      </c>
      <c r="J182" s="311">
        <f>'d3'!J182-'d3-10'!J177</f>
        <v>0</v>
      </c>
      <c r="K182" s="311">
        <f>'d3'!K182-'d3-10'!K177</f>
        <v>0</v>
      </c>
      <c r="L182" s="311">
        <f>'d3'!L182-'d3-10'!L177</f>
        <v>0</v>
      </c>
      <c r="M182" s="311">
        <f>'d3'!M182-'d3-10'!M177</f>
        <v>0</v>
      </c>
      <c r="N182" s="311">
        <f>'d3'!N182-'d3-10'!N177</f>
        <v>0</v>
      </c>
      <c r="O182" s="311">
        <f>'d3'!O182-'d3-10'!O177</f>
        <v>0</v>
      </c>
      <c r="P182" s="311">
        <f>'d3'!P182-'d3-10'!P177</f>
        <v>91500</v>
      </c>
    </row>
    <row r="183" spans="1:16" ht="91.5" x14ac:dyDescent="0.2">
      <c r="A183" s="442" t="s">
        <v>457</v>
      </c>
      <c r="B183" s="442" t="s">
        <v>458</v>
      </c>
      <c r="C183" s="442" t="s">
        <v>81</v>
      </c>
      <c r="D183" s="442" t="s">
        <v>82</v>
      </c>
      <c r="E183" s="311">
        <f>'d3'!E183-'d3-10'!E178</f>
        <v>0</v>
      </c>
      <c r="F183" s="311">
        <f>'d3'!F183-'d3-10'!F178</f>
        <v>0</v>
      </c>
      <c r="G183" s="311">
        <f>'d3'!G183-'d3-10'!G178</f>
        <v>0</v>
      </c>
      <c r="H183" s="311">
        <f>'d3'!H183-'d3-10'!H178</f>
        <v>0</v>
      </c>
      <c r="I183" s="311">
        <f>'d3'!I183-'d3-10'!I178</f>
        <v>0</v>
      </c>
      <c r="J183" s="311">
        <f>'d3'!J183-'d3-10'!J178</f>
        <v>-116000</v>
      </c>
      <c r="K183" s="311">
        <f>'d3'!K183-'d3-10'!K178</f>
        <v>0</v>
      </c>
      <c r="L183" s="311">
        <f>'d3'!L183-'d3-10'!L178</f>
        <v>-116000</v>
      </c>
      <c r="M183" s="311">
        <f>'d3'!M183-'d3-10'!M178</f>
        <v>0</v>
      </c>
      <c r="N183" s="311">
        <f>'d3'!N183-'d3-10'!N178</f>
        <v>0</v>
      </c>
      <c r="O183" s="311">
        <f>'d3'!O183-'d3-10'!O178</f>
        <v>0</v>
      </c>
      <c r="P183" s="311">
        <f>'d3'!P183-'d3-10'!P178</f>
        <v>-116000</v>
      </c>
    </row>
    <row r="184" spans="1:16" ht="70.5" customHeight="1" x14ac:dyDescent="0.2">
      <c r="A184" s="382" t="s">
        <v>994</v>
      </c>
      <c r="B184" s="382" t="s">
        <v>995</v>
      </c>
      <c r="C184" s="383" t="s">
        <v>996</v>
      </c>
      <c r="D184" s="442" t="s">
        <v>998</v>
      </c>
      <c r="E184" s="249">
        <f>'d3'!E184-0</f>
        <v>0</v>
      </c>
      <c r="F184" s="249">
        <f>'d3'!F184-0</f>
        <v>0</v>
      </c>
      <c r="G184" s="249">
        <f>'d3'!G184-0</f>
        <v>0</v>
      </c>
      <c r="H184" s="249">
        <f>'d3'!H184-0</f>
        <v>0</v>
      </c>
      <c r="I184" s="249">
        <f>'d3'!I184-0</f>
        <v>0</v>
      </c>
      <c r="J184" s="249">
        <f>'d3'!J184-0</f>
        <v>136800</v>
      </c>
      <c r="K184" s="249">
        <f>'d3'!K184-0</f>
        <v>0</v>
      </c>
      <c r="L184" s="249">
        <f>'d3'!L184-0</f>
        <v>0</v>
      </c>
      <c r="M184" s="249">
        <f>'d3'!M184-0</f>
        <v>0</v>
      </c>
      <c r="N184" s="249">
        <f>'d3'!N184-0</f>
        <v>0</v>
      </c>
      <c r="O184" s="249">
        <f>'d3'!O184-0</f>
        <v>136800</v>
      </c>
      <c r="P184" s="249">
        <f>'d3'!P184-0</f>
        <v>136800</v>
      </c>
    </row>
    <row r="185" spans="1:16" ht="91.5" x14ac:dyDescent="0.2">
      <c r="A185" s="442" t="s">
        <v>794</v>
      </c>
      <c r="B185" s="442" t="s">
        <v>795</v>
      </c>
      <c r="C185" s="442" t="s">
        <v>817</v>
      </c>
      <c r="D185" s="442" t="s">
        <v>816</v>
      </c>
      <c r="E185" s="249">
        <f>'d3'!E185-'d3-10'!E179</f>
        <v>0</v>
      </c>
      <c r="F185" s="249">
        <f>'d3'!F185-'d3-10'!F179</f>
        <v>0</v>
      </c>
      <c r="G185" s="249">
        <f>'d3'!G185-'d3-10'!G179</f>
        <v>0</v>
      </c>
      <c r="H185" s="249">
        <f>'d3'!H185-'d3-10'!H179</f>
        <v>0</v>
      </c>
      <c r="I185" s="249">
        <f>'d3'!I185-'d3-10'!I179</f>
        <v>0</v>
      </c>
      <c r="J185" s="249">
        <f>'d3'!J185-'d3-10'!J179</f>
        <v>0</v>
      </c>
      <c r="K185" s="249">
        <f>'d3'!K185-'d3-10'!K179</f>
        <v>0</v>
      </c>
      <c r="L185" s="249">
        <f>'d3'!L185-'d3-10'!L179</f>
        <v>0</v>
      </c>
      <c r="M185" s="249">
        <f>'d3'!M185-'d3-10'!M179</f>
        <v>0</v>
      </c>
      <c r="N185" s="249">
        <f>'d3'!N185-'d3-10'!N179</f>
        <v>0</v>
      </c>
      <c r="O185" s="249">
        <f>'d3'!O185-'d3-10'!O179</f>
        <v>0</v>
      </c>
      <c r="P185" s="249">
        <f>'d3'!P185-'d3-10'!P179</f>
        <v>0</v>
      </c>
    </row>
    <row r="186" spans="1:16" ht="91.5" x14ac:dyDescent="0.2">
      <c r="A186" s="442" t="s">
        <v>459</v>
      </c>
      <c r="B186" s="442" t="s">
        <v>460</v>
      </c>
      <c r="C186" s="442" t="s">
        <v>83</v>
      </c>
      <c r="D186" s="442" t="s">
        <v>461</v>
      </c>
      <c r="E186" s="249">
        <f>'d3'!E186-'d3-10'!E180</f>
        <v>0</v>
      </c>
      <c r="F186" s="249">
        <f>'d3'!F186-'d3-10'!F180</f>
        <v>0</v>
      </c>
      <c r="G186" s="249">
        <f>'d3'!G186-'d3-10'!G180</f>
        <v>0</v>
      </c>
      <c r="H186" s="249">
        <f>'d3'!H186-'d3-10'!H180</f>
        <v>0</v>
      </c>
      <c r="I186" s="249">
        <f>'d3'!I186-'d3-10'!I180</f>
        <v>0</v>
      </c>
      <c r="J186" s="249">
        <f>'d3'!J186-'d3-10'!J180</f>
        <v>-20800</v>
      </c>
      <c r="K186" s="249">
        <f>'d3'!K186-'d3-10'!K180</f>
        <v>0</v>
      </c>
      <c r="L186" s="249">
        <f>'d3'!L186-'d3-10'!L180</f>
        <v>-20800</v>
      </c>
      <c r="M186" s="249">
        <f>'d3'!M186-'d3-10'!M180</f>
        <v>0</v>
      </c>
      <c r="N186" s="249">
        <f>'d3'!N186-'d3-10'!N180</f>
        <v>0</v>
      </c>
      <c r="O186" s="249">
        <f>'d3'!O186-'d3-10'!O180</f>
        <v>0</v>
      </c>
      <c r="P186" s="249">
        <f>'d3'!P186-'d3-10'!P180</f>
        <v>-20800</v>
      </c>
    </row>
    <row r="187" spans="1:16" ht="225" x14ac:dyDescent="0.2">
      <c r="A187" s="327" t="s">
        <v>242</v>
      </c>
      <c r="B187" s="327"/>
      <c r="C187" s="327"/>
      <c r="D187" s="328" t="s">
        <v>565</v>
      </c>
      <c r="E187" s="329">
        <f>E188</f>
        <v>-676700</v>
      </c>
      <c r="F187" s="329">
        <f t="shared" ref="F187:G187" si="64">F188</f>
        <v>-676700</v>
      </c>
      <c r="G187" s="329">
        <f t="shared" si="64"/>
        <v>-607600</v>
      </c>
      <c r="H187" s="329">
        <f>H188</f>
        <v>0</v>
      </c>
      <c r="I187" s="329">
        <f t="shared" ref="I187" si="65">I188</f>
        <v>0</v>
      </c>
      <c r="J187" s="329">
        <f>J188</f>
        <v>-174000</v>
      </c>
      <c r="K187" s="329">
        <f>K188</f>
        <v>-174000</v>
      </c>
      <c r="L187" s="329">
        <f>L188</f>
        <v>0</v>
      </c>
      <c r="M187" s="329">
        <f t="shared" ref="M187" si="66">M188</f>
        <v>0</v>
      </c>
      <c r="N187" s="329">
        <f>N188</f>
        <v>0</v>
      </c>
      <c r="O187" s="329">
        <f>O188</f>
        <v>-174000</v>
      </c>
      <c r="P187" s="329">
        <f t="shared" ref="P187" si="67">P188</f>
        <v>-850700</v>
      </c>
    </row>
    <row r="188" spans="1:16" ht="270" x14ac:dyDescent="0.2">
      <c r="A188" s="324" t="s">
        <v>243</v>
      </c>
      <c r="B188" s="324"/>
      <c r="C188" s="324"/>
      <c r="D188" s="325" t="s">
        <v>566</v>
      </c>
      <c r="E188" s="326">
        <f>SUM(E189:E191)</f>
        <v>-676700</v>
      </c>
      <c r="F188" s="326">
        <f t="shared" ref="F188:N188" si="68">SUM(F189:F191)</f>
        <v>-676700</v>
      </c>
      <c r="G188" s="326">
        <f t="shared" si="68"/>
        <v>-607600</v>
      </c>
      <c r="H188" s="326">
        <f t="shared" si="68"/>
        <v>0</v>
      </c>
      <c r="I188" s="326">
        <f t="shared" si="68"/>
        <v>0</v>
      </c>
      <c r="J188" s="326">
        <f>L188+O188</f>
        <v>-174000</v>
      </c>
      <c r="K188" s="326">
        <f t="shared" si="68"/>
        <v>-174000</v>
      </c>
      <c r="L188" s="326">
        <f t="shared" si="68"/>
        <v>0</v>
      </c>
      <c r="M188" s="326">
        <f t="shared" si="68"/>
        <v>0</v>
      </c>
      <c r="N188" s="326">
        <f t="shared" si="68"/>
        <v>0</v>
      </c>
      <c r="O188" s="326">
        <f>SUM(O189:O191)</f>
        <v>-174000</v>
      </c>
      <c r="P188" s="326">
        <f>E188+J188</f>
        <v>-850700</v>
      </c>
    </row>
    <row r="189" spans="1:16" ht="228.75" x14ac:dyDescent="0.2">
      <c r="A189" s="442" t="s">
        <v>714</v>
      </c>
      <c r="B189" s="442" t="s">
        <v>335</v>
      </c>
      <c r="C189" s="442" t="s">
        <v>333</v>
      </c>
      <c r="D189" s="442" t="s">
        <v>334</v>
      </c>
      <c r="E189" s="249">
        <f>'d3'!E189-'d3-10'!E183</f>
        <v>-676700</v>
      </c>
      <c r="F189" s="249">
        <f>'d3'!F189-'d3-10'!F183</f>
        <v>-676700</v>
      </c>
      <c r="G189" s="249">
        <f>'d3'!G189-'d3-10'!G183</f>
        <v>-607600</v>
      </c>
      <c r="H189" s="249">
        <f>'d3'!H189-'d3-10'!H183</f>
        <v>0</v>
      </c>
      <c r="I189" s="249">
        <f>'d3'!I189-'d3-10'!I183</f>
        <v>0</v>
      </c>
      <c r="J189" s="249">
        <f>'d3'!J189-'d3-10'!J183</f>
        <v>0</v>
      </c>
      <c r="K189" s="249">
        <f>'d3'!K189-'d3-10'!K183</f>
        <v>0</v>
      </c>
      <c r="L189" s="249">
        <f>'d3'!L189-'d3-10'!L183</f>
        <v>0</v>
      </c>
      <c r="M189" s="249">
        <f>'d3'!M189-'d3-10'!M183</f>
        <v>0</v>
      </c>
      <c r="N189" s="249">
        <f>'d3'!N189-'d3-10'!N183</f>
        <v>0</v>
      </c>
      <c r="O189" s="249">
        <f>'d3'!O189-'d3-10'!O183</f>
        <v>0</v>
      </c>
      <c r="P189" s="249">
        <f>'d3'!P189-'d3-10'!P183</f>
        <v>-676700</v>
      </c>
    </row>
    <row r="190" spans="1:16" ht="91.5" x14ac:dyDescent="0.2">
      <c r="A190" s="442" t="s">
        <v>451</v>
      </c>
      <c r="B190" s="442" t="s">
        <v>452</v>
      </c>
      <c r="C190" s="442" t="s">
        <v>453</v>
      </c>
      <c r="D190" s="442" t="s">
        <v>450</v>
      </c>
      <c r="E190" s="249">
        <f>'d3'!E190-'d3-10'!E184</f>
        <v>0</v>
      </c>
      <c r="F190" s="249">
        <f>'d3'!F190-'d3-10'!F184</f>
        <v>0</v>
      </c>
      <c r="G190" s="249">
        <f>'d3'!G190-'d3-10'!G184</f>
        <v>0</v>
      </c>
      <c r="H190" s="249">
        <f>'d3'!H190-'d3-10'!H184</f>
        <v>0</v>
      </c>
      <c r="I190" s="249">
        <f>'d3'!I190-'d3-10'!I184</f>
        <v>0</v>
      </c>
      <c r="J190" s="249">
        <f>'d3'!J190-'d3-10'!J184</f>
        <v>-174000</v>
      </c>
      <c r="K190" s="249">
        <f>'d3'!K190-'d3-10'!K184</f>
        <v>-174000</v>
      </c>
      <c r="L190" s="249">
        <f>'d3'!L190-'d3-10'!L184</f>
        <v>0</v>
      </c>
      <c r="M190" s="249">
        <f>'d3'!M190-'d3-10'!M184</f>
        <v>0</v>
      </c>
      <c r="N190" s="249">
        <f>'d3'!N190-'d3-10'!N184</f>
        <v>0</v>
      </c>
      <c r="O190" s="249">
        <f>'d3'!O190-'d3-10'!O184</f>
        <v>-174000</v>
      </c>
      <c r="P190" s="249">
        <f>'d3'!P190-'d3-10'!P184</f>
        <v>-174000</v>
      </c>
    </row>
    <row r="191" spans="1:16" ht="137.25" x14ac:dyDescent="0.2">
      <c r="A191" s="442" t="s">
        <v>595</v>
      </c>
      <c r="B191" s="442" t="s">
        <v>596</v>
      </c>
      <c r="C191" s="442" t="s">
        <v>250</v>
      </c>
      <c r="D191" s="442" t="s">
        <v>597</v>
      </c>
      <c r="E191" s="249">
        <f>'d3'!E191-'d3-10'!E185</f>
        <v>0</v>
      </c>
      <c r="F191" s="249">
        <f>'d3'!F191-'d3-10'!F185</f>
        <v>0</v>
      </c>
      <c r="G191" s="249">
        <f>'d3'!G191-'d3-10'!G185</f>
        <v>0</v>
      </c>
      <c r="H191" s="249">
        <f>'d3'!H191-'d3-10'!H185</f>
        <v>0</v>
      </c>
      <c r="I191" s="249">
        <f>'d3'!I191-'d3-10'!I185</f>
        <v>0</v>
      </c>
      <c r="J191" s="249">
        <f>'d3'!J191-'d3-10'!J185</f>
        <v>0</v>
      </c>
      <c r="K191" s="249">
        <f>'d3'!K191-'d3-10'!K185</f>
        <v>0</v>
      </c>
      <c r="L191" s="249">
        <f>'d3'!L191-'d3-10'!L185</f>
        <v>0</v>
      </c>
      <c r="M191" s="249">
        <f>'d3'!M191-'d3-10'!M185</f>
        <v>0</v>
      </c>
      <c r="N191" s="249">
        <f>'d3'!N191-'d3-10'!N185</f>
        <v>0</v>
      </c>
      <c r="O191" s="249">
        <f>'d3'!O191-'d3-10'!O185</f>
        <v>0</v>
      </c>
      <c r="P191" s="249">
        <f>'d3'!P191-'d3-10'!P185</f>
        <v>0</v>
      </c>
    </row>
    <row r="192" spans="1:16" ht="135" x14ac:dyDescent="0.2">
      <c r="A192" s="327" t="s">
        <v>248</v>
      </c>
      <c r="B192" s="327"/>
      <c r="C192" s="327"/>
      <c r="D192" s="328" t="s">
        <v>48</v>
      </c>
      <c r="E192" s="329">
        <f>E193</f>
        <v>-1666500</v>
      </c>
      <c r="F192" s="329">
        <f t="shared" ref="F192:G192" si="69">F193</f>
        <v>-1666500</v>
      </c>
      <c r="G192" s="329">
        <f t="shared" si="69"/>
        <v>-400000</v>
      </c>
      <c r="H192" s="329">
        <f>H193</f>
        <v>-30000</v>
      </c>
      <c r="I192" s="329">
        <f t="shared" ref="I192" si="70">I193</f>
        <v>0</v>
      </c>
      <c r="J192" s="329">
        <f>J193</f>
        <v>0</v>
      </c>
      <c r="K192" s="329">
        <f>K193</f>
        <v>0</v>
      </c>
      <c r="L192" s="329">
        <f>L193</f>
        <v>0</v>
      </c>
      <c r="M192" s="329">
        <f t="shared" ref="M192" si="71">M193</f>
        <v>0</v>
      </c>
      <c r="N192" s="329">
        <f>N193</f>
        <v>0</v>
      </c>
      <c r="O192" s="329">
        <f>O193</f>
        <v>0</v>
      </c>
      <c r="P192" s="329">
        <f t="shared" ref="P192" si="72">P193</f>
        <v>-1666500</v>
      </c>
    </row>
    <row r="193" spans="1:16" ht="135" x14ac:dyDescent="0.2">
      <c r="A193" s="324" t="s">
        <v>249</v>
      </c>
      <c r="B193" s="324"/>
      <c r="C193" s="324"/>
      <c r="D193" s="325" t="s">
        <v>66</v>
      </c>
      <c r="E193" s="326">
        <f>SUM(E194:E197)</f>
        <v>-1666500</v>
      </c>
      <c r="F193" s="326">
        <f t="shared" ref="F193:N193" si="73">SUM(F194:F197)</f>
        <v>-1666500</v>
      </c>
      <c r="G193" s="326">
        <f t="shared" si="73"/>
        <v>-400000</v>
      </c>
      <c r="H193" s="326">
        <f t="shared" si="73"/>
        <v>-30000</v>
      </c>
      <c r="I193" s="326">
        <f t="shared" si="73"/>
        <v>0</v>
      </c>
      <c r="J193" s="326">
        <f>L193+O193</f>
        <v>0</v>
      </c>
      <c r="K193" s="326">
        <f>SUM(K194:K197)</f>
        <v>0</v>
      </c>
      <c r="L193" s="326">
        <f t="shared" si="73"/>
        <v>0</v>
      </c>
      <c r="M193" s="326">
        <f t="shared" si="73"/>
        <v>0</v>
      </c>
      <c r="N193" s="326">
        <f t="shared" si="73"/>
        <v>0</v>
      </c>
      <c r="O193" s="326">
        <f>SUM(O194:O197)</f>
        <v>0</v>
      </c>
      <c r="P193" s="326">
        <f>E193+J193</f>
        <v>-1666500</v>
      </c>
    </row>
    <row r="194" spans="1:16" ht="228.75" x14ac:dyDescent="0.2">
      <c r="A194" s="442" t="s">
        <v>716</v>
      </c>
      <c r="B194" s="442" t="s">
        <v>335</v>
      </c>
      <c r="C194" s="442" t="s">
        <v>333</v>
      </c>
      <c r="D194" s="442" t="s">
        <v>334</v>
      </c>
      <c r="E194" s="249">
        <f>'d3'!E194-'d3-10'!E188</f>
        <v>-604000</v>
      </c>
      <c r="F194" s="249">
        <f>'d3'!F194-'d3-10'!F188</f>
        <v>-604000</v>
      </c>
      <c r="G194" s="249">
        <f>'d3'!G194-'d3-10'!G188</f>
        <v>-400000</v>
      </c>
      <c r="H194" s="249">
        <f>'d3'!H194-'d3-10'!H188</f>
        <v>-30000</v>
      </c>
      <c r="I194" s="249">
        <f>'d3'!I194-'d3-10'!I188</f>
        <v>0</v>
      </c>
      <c r="J194" s="249">
        <f>'d3'!J194-'d3-10'!J188</f>
        <v>0</v>
      </c>
      <c r="K194" s="249">
        <f>'d3'!K194-'d3-10'!K188</f>
        <v>0</v>
      </c>
      <c r="L194" s="249">
        <f>'d3'!L194-'d3-10'!L188</f>
        <v>0</v>
      </c>
      <c r="M194" s="249">
        <f>'d3'!M194-'d3-10'!M188</f>
        <v>0</v>
      </c>
      <c r="N194" s="249">
        <f>'d3'!N194-'d3-10'!N188</f>
        <v>0</v>
      </c>
      <c r="O194" s="249">
        <f>'d3'!O194-'d3-10'!O188</f>
        <v>0</v>
      </c>
      <c r="P194" s="249">
        <f>'d3'!P194-'d3-10'!P188</f>
        <v>-604000</v>
      </c>
    </row>
    <row r="195" spans="1:16" ht="46.5" x14ac:dyDescent="0.2">
      <c r="A195" s="250">
        <v>3718600</v>
      </c>
      <c r="B195" s="250">
        <v>8600</v>
      </c>
      <c r="C195" s="442" t="s">
        <v>575</v>
      </c>
      <c r="D195" s="250" t="s">
        <v>576</v>
      </c>
      <c r="E195" s="249">
        <f>'d3'!E195-'d3-10'!E189</f>
        <v>-1062500</v>
      </c>
      <c r="F195" s="249">
        <f>'d3'!F195-'d3-10'!F189</f>
        <v>-1062500</v>
      </c>
      <c r="G195" s="249">
        <f>'d3'!G195-'d3-10'!G189</f>
        <v>0</v>
      </c>
      <c r="H195" s="249">
        <f>'d3'!H195-'d3-10'!H189</f>
        <v>0</v>
      </c>
      <c r="I195" s="249">
        <f>'d3'!I195-'d3-10'!I189</f>
        <v>0</v>
      </c>
      <c r="J195" s="249">
        <f>'d3'!J195-'d3-10'!J189</f>
        <v>0</v>
      </c>
      <c r="K195" s="249">
        <f>'d3'!K195-'d3-10'!K189</f>
        <v>0</v>
      </c>
      <c r="L195" s="249">
        <f>'d3'!L195-'d3-10'!L189</f>
        <v>0</v>
      </c>
      <c r="M195" s="249">
        <f>'d3'!M195-'d3-10'!M189</f>
        <v>0</v>
      </c>
      <c r="N195" s="249">
        <f>'d3'!N195-'d3-10'!N189</f>
        <v>0</v>
      </c>
      <c r="O195" s="249">
        <f>'d3'!O195-'d3-10'!O189</f>
        <v>0</v>
      </c>
      <c r="P195" s="249">
        <f>'d3'!P195-'d3-10'!P189</f>
        <v>-1062500</v>
      </c>
    </row>
    <row r="196" spans="1:16" ht="69" customHeight="1" x14ac:dyDescent="0.2">
      <c r="A196" s="250">
        <v>3718700</v>
      </c>
      <c r="B196" s="250">
        <v>8700</v>
      </c>
      <c r="C196" s="442" t="s">
        <v>70</v>
      </c>
      <c r="D196" s="269" t="s">
        <v>68</v>
      </c>
      <c r="E196" s="249">
        <f>'d3'!E196-'d3-10'!E190</f>
        <v>0</v>
      </c>
      <c r="F196" s="249">
        <f>'d3'!F196-'d3-10'!F190</f>
        <v>0</v>
      </c>
      <c r="G196" s="249">
        <f>'d3'!G196-'d3-10'!G190</f>
        <v>0</v>
      </c>
      <c r="H196" s="249">
        <f>'d3'!H196-'d3-10'!H190</f>
        <v>0</v>
      </c>
      <c r="I196" s="249">
        <f>'d3'!I196-'d3-10'!I190</f>
        <v>0</v>
      </c>
      <c r="J196" s="249">
        <f>'d3'!J196-'d3-10'!J190</f>
        <v>0</v>
      </c>
      <c r="K196" s="249">
        <f>'d3'!K196-'d3-10'!K190</f>
        <v>0</v>
      </c>
      <c r="L196" s="249">
        <f>'d3'!L196-'d3-10'!L190</f>
        <v>0</v>
      </c>
      <c r="M196" s="249">
        <f>'d3'!M196-'d3-10'!M190</f>
        <v>0</v>
      </c>
      <c r="N196" s="249">
        <f>'d3'!N196-'d3-10'!N190</f>
        <v>0</v>
      </c>
      <c r="O196" s="249">
        <f>'d3'!O196-'d3-10'!O190</f>
        <v>0</v>
      </c>
      <c r="P196" s="249">
        <f>'d3'!P196-'d3-10'!P190</f>
        <v>0</v>
      </c>
    </row>
    <row r="197" spans="1:16" ht="65.25" customHeight="1" x14ac:dyDescent="0.2">
      <c r="A197" s="250">
        <v>3719110</v>
      </c>
      <c r="B197" s="250">
        <v>9110</v>
      </c>
      <c r="C197" s="442" t="s">
        <v>71</v>
      </c>
      <c r="D197" s="269" t="s">
        <v>69</v>
      </c>
      <c r="E197" s="249">
        <f>'d3'!E197-'d3-10'!E191</f>
        <v>0</v>
      </c>
      <c r="F197" s="249">
        <f>'d3'!F197-'d3-10'!F191</f>
        <v>0</v>
      </c>
      <c r="G197" s="249">
        <f>'d3'!G197-'d3-10'!G191</f>
        <v>0</v>
      </c>
      <c r="H197" s="249">
        <f>'d3'!H197-'d3-10'!H191</f>
        <v>0</v>
      </c>
      <c r="I197" s="249">
        <f>'d3'!I197-'d3-10'!I191</f>
        <v>0</v>
      </c>
      <c r="J197" s="249">
        <f>'d3'!J197-'d3-10'!J191</f>
        <v>0</v>
      </c>
      <c r="K197" s="249">
        <f>'d3'!K197-'d3-10'!K191</f>
        <v>0</v>
      </c>
      <c r="L197" s="249">
        <f>'d3'!L197-'d3-10'!L191</f>
        <v>0</v>
      </c>
      <c r="M197" s="249">
        <f>'d3'!M197-'d3-10'!M191</f>
        <v>0</v>
      </c>
      <c r="N197" s="249">
        <f>'d3'!N197-'d3-10'!N191</f>
        <v>0</v>
      </c>
      <c r="O197" s="249">
        <f>'d3'!O197-'d3-10'!O191</f>
        <v>0</v>
      </c>
      <c r="P197" s="249">
        <f>'d3'!P197-'d3-10'!P191</f>
        <v>0</v>
      </c>
    </row>
    <row r="198" spans="1:16" ht="111.75" customHeight="1" x14ac:dyDescent="0.2">
      <c r="A198" s="330" t="s">
        <v>633</v>
      </c>
      <c r="B198" s="330" t="s">
        <v>633</v>
      </c>
      <c r="C198" s="330" t="s">
        <v>633</v>
      </c>
      <c r="D198" s="331" t="s">
        <v>649</v>
      </c>
      <c r="E198" s="332">
        <f>E14+E26+E122+E40+E54+E112+E138+E160+E169+E193+E174+E181+E188</f>
        <v>12263931</v>
      </c>
      <c r="F198" s="332">
        <f>F14+F26+F122+F40+F53+F112+F138+F160+F169+F193+F174+F181+F188</f>
        <v>12263931</v>
      </c>
      <c r="G198" s="332">
        <f t="shared" ref="G198:O198" si="74">G14+G26+G122+G40+G54+G112+G138+G160+G169+G193+G174+G181+G188</f>
        <v>4905984</v>
      </c>
      <c r="H198" s="332">
        <f>H14+H26+H122+H40+H54+H112+H138+H160+H169+H193+H174+H181+H188</f>
        <v>-6216843</v>
      </c>
      <c r="I198" s="332">
        <f t="shared" si="74"/>
        <v>0</v>
      </c>
      <c r="J198" s="332">
        <f t="shared" si="74"/>
        <v>-2237981</v>
      </c>
      <c r="K198" s="332">
        <f t="shared" si="74"/>
        <v>-2237981</v>
      </c>
      <c r="L198" s="332">
        <f t="shared" si="74"/>
        <v>-136800</v>
      </c>
      <c r="M198" s="332">
        <f t="shared" si="74"/>
        <v>0</v>
      </c>
      <c r="N198" s="332">
        <f t="shared" si="74"/>
        <v>-12500</v>
      </c>
      <c r="O198" s="332">
        <f t="shared" si="74"/>
        <v>-2101181</v>
      </c>
      <c r="P198" s="332">
        <f>P14+P26+P122+P40+P53+P112+P138+P160+P169+P193+P174+P181+P188</f>
        <v>10025950</v>
      </c>
    </row>
    <row r="199" spans="1:16" ht="30" x14ac:dyDescent="0.2">
      <c r="A199" s="510" t="s">
        <v>448</v>
      </c>
      <c r="B199" s="511"/>
      <c r="C199" s="511"/>
      <c r="D199" s="511"/>
      <c r="E199" s="511"/>
      <c r="F199" s="511"/>
      <c r="G199" s="511"/>
      <c r="H199" s="511"/>
      <c r="I199" s="511"/>
      <c r="J199" s="511"/>
      <c r="K199" s="511"/>
      <c r="L199" s="511"/>
      <c r="M199" s="511"/>
      <c r="N199" s="511"/>
      <c r="O199" s="511"/>
      <c r="P199" s="511"/>
    </row>
    <row r="200" spans="1:16" ht="60.75" x14ac:dyDescent="0.2">
      <c r="D200" s="10"/>
      <c r="E200" s="145"/>
      <c r="F200" s="243"/>
      <c r="G200" s="23"/>
      <c r="I200" s="10"/>
      <c r="J200" s="145"/>
      <c r="K200" s="145"/>
      <c r="O200" s="145"/>
      <c r="P200" s="114"/>
    </row>
    <row r="201" spans="1:16" ht="60.75" x14ac:dyDescent="0.2">
      <c r="A201" s="436"/>
      <c r="B201" s="436"/>
      <c r="C201" s="436"/>
      <c r="D201" s="10"/>
      <c r="E201" s="145"/>
      <c r="F201" s="128"/>
      <c r="G201" s="3"/>
      <c r="I201" s="10"/>
      <c r="J201" s="145"/>
      <c r="K201" s="145"/>
      <c r="L201" s="436"/>
      <c r="M201" s="436"/>
      <c r="N201" s="436"/>
      <c r="O201" s="145"/>
      <c r="P201" s="114"/>
    </row>
    <row r="202" spans="1:16" ht="60.75" x14ac:dyDescent="0.2">
      <c r="D202" s="10"/>
      <c r="E202" s="145"/>
      <c r="F202" s="177"/>
      <c r="O202" s="114"/>
      <c r="P202" s="114"/>
    </row>
    <row r="203" spans="1:16" ht="60.75" x14ac:dyDescent="0.2">
      <c r="A203" s="436"/>
      <c r="B203" s="436"/>
      <c r="C203" s="436"/>
      <c r="D203" s="10"/>
      <c r="E203" s="145"/>
      <c r="F203" s="128"/>
      <c r="G203" s="3"/>
      <c r="J203" s="4"/>
      <c r="K203" s="4"/>
      <c r="L203" s="436"/>
      <c r="M203" s="436"/>
      <c r="N203" s="436"/>
      <c r="O203" s="436"/>
      <c r="P203" s="114"/>
    </row>
    <row r="204" spans="1:16" ht="62.25" x14ac:dyDescent="0.8">
      <c r="A204" s="436"/>
      <c r="B204" s="436"/>
      <c r="C204" s="436"/>
      <c r="D204" s="436"/>
      <c r="E204" s="21"/>
      <c r="F204" s="128"/>
      <c r="J204" s="4"/>
      <c r="K204" s="4"/>
      <c r="L204" s="436"/>
      <c r="M204" s="436"/>
      <c r="N204" s="436"/>
      <c r="O204" s="436"/>
      <c r="P204" s="151"/>
    </row>
    <row r="205" spans="1:16" ht="45.75" x14ac:dyDescent="0.2">
      <c r="E205" s="22"/>
      <c r="F205" s="177"/>
    </row>
    <row r="206" spans="1:16" ht="45.75" x14ac:dyDescent="0.2">
      <c r="A206" s="436"/>
      <c r="B206" s="436"/>
      <c r="C206" s="436"/>
      <c r="D206" s="436"/>
      <c r="E206" s="21"/>
      <c r="F206" s="128"/>
      <c r="L206" s="436"/>
      <c r="M206" s="436"/>
      <c r="N206" s="436"/>
      <c r="O206" s="436"/>
      <c r="P206" s="436"/>
    </row>
    <row r="207" spans="1:16" ht="45.75" x14ac:dyDescent="0.2">
      <c r="E207" s="22"/>
      <c r="F207" s="177"/>
    </row>
    <row r="208" spans="1:16" ht="45.75" x14ac:dyDescent="0.2">
      <c r="E208" s="22"/>
      <c r="F208" s="177"/>
    </row>
    <row r="209" spans="1:16" ht="45.75" x14ac:dyDescent="0.2">
      <c r="E209" s="22"/>
      <c r="F209" s="177"/>
    </row>
    <row r="210" spans="1:16" ht="45.75" x14ac:dyDescent="0.2">
      <c r="A210" s="436"/>
      <c r="B210" s="436"/>
      <c r="C210" s="436"/>
      <c r="D210" s="436"/>
      <c r="E210" s="22"/>
      <c r="F210" s="177"/>
      <c r="G210" s="436"/>
      <c r="H210" s="436"/>
      <c r="I210" s="436"/>
      <c r="J210" s="436"/>
      <c r="K210" s="436"/>
      <c r="L210" s="436"/>
      <c r="M210" s="436"/>
      <c r="N210" s="436"/>
      <c r="O210" s="436"/>
      <c r="P210" s="436"/>
    </row>
    <row r="211" spans="1:16" ht="45.75" x14ac:dyDescent="0.2">
      <c r="A211" s="436"/>
      <c r="B211" s="436"/>
      <c r="C211" s="436"/>
      <c r="D211" s="436"/>
      <c r="E211" s="22"/>
      <c r="F211" s="177"/>
      <c r="G211" s="436"/>
      <c r="H211" s="436"/>
      <c r="I211" s="436"/>
      <c r="J211" s="436"/>
      <c r="K211" s="436"/>
      <c r="L211" s="436"/>
      <c r="M211" s="436"/>
      <c r="N211" s="436"/>
      <c r="O211" s="436"/>
      <c r="P211" s="436"/>
    </row>
    <row r="212" spans="1:16" ht="45.75" x14ac:dyDescent="0.2">
      <c r="A212" s="436"/>
      <c r="B212" s="436"/>
      <c r="C212" s="436"/>
      <c r="D212" s="436"/>
      <c r="E212" s="22"/>
      <c r="F212" s="177"/>
      <c r="G212" s="436"/>
      <c r="H212" s="436"/>
      <c r="I212" s="436"/>
      <c r="J212" s="436"/>
      <c r="K212" s="436"/>
      <c r="L212" s="436"/>
      <c r="M212" s="436"/>
      <c r="N212" s="436"/>
      <c r="O212" s="436"/>
      <c r="P212" s="436"/>
    </row>
    <row r="213" spans="1:16" ht="45.75" x14ac:dyDescent="0.2">
      <c r="A213" s="436"/>
      <c r="B213" s="436"/>
      <c r="C213" s="436"/>
      <c r="D213" s="436"/>
      <c r="E213" s="22"/>
      <c r="F213" s="177"/>
      <c r="G213" s="436"/>
      <c r="H213" s="436"/>
      <c r="I213" s="436"/>
      <c r="J213" s="436"/>
      <c r="K213" s="436"/>
      <c r="L213" s="436"/>
      <c r="M213" s="436"/>
      <c r="N213" s="436"/>
      <c r="O213" s="436"/>
      <c r="P213" s="436"/>
    </row>
  </sheetData>
  <mergeCells count="142">
    <mergeCell ref="N2:P2"/>
    <mergeCell ref="N3:P3"/>
    <mergeCell ref="O4:P4"/>
    <mergeCell ref="A6:P6"/>
    <mergeCell ref="A7:P7"/>
    <mergeCell ref="A9:A11"/>
    <mergeCell ref="B9:B11"/>
    <mergeCell ref="C9:C11"/>
    <mergeCell ref="D9:D11"/>
    <mergeCell ref="E9:I9"/>
    <mergeCell ref="J9:O9"/>
    <mergeCell ref="P9:P11"/>
    <mergeCell ref="E10:E11"/>
    <mergeCell ref="F10:F11"/>
    <mergeCell ref="G10:H10"/>
    <mergeCell ref="I10:I11"/>
    <mergeCell ref="J10:J11"/>
    <mergeCell ref="K10:K11"/>
    <mergeCell ref="L10:L11"/>
    <mergeCell ref="M10:N10"/>
    <mergeCell ref="O10:O11"/>
    <mergeCell ref="A19:A20"/>
    <mergeCell ref="B19:B20"/>
    <mergeCell ref="C19:C20"/>
    <mergeCell ref="E19:E20"/>
    <mergeCell ref="F19:F20"/>
    <mergeCell ref="G19:G20"/>
    <mergeCell ref="H19:H20"/>
    <mergeCell ref="I19:I20"/>
    <mergeCell ref="J19:J20"/>
    <mergeCell ref="K19:K20"/>
    <mergeCell ref="L19:L20"/>
    <mergeCell ref="M19:M20"/>
    <mergeCell ref="N19:N20"/>
    <mergeCell ref="O19:O20"/>
    <mergeCell ref="P19:P20"/>
    <mergeCell ref="J91:J93"/>
    <mergeCell ref="K91:K93"/>
    <mergeCell ref="L91:L93"/>
    <mergeCell ref="M91:M93"/>
    <mergeCell ref="N91:N93"/>
    <mergeCell ref="P79:P80"/>
    <mergeCell ref="J79:J80"/>
    <mergeCell ref="K79:K80"/>
    <mergeCell ref="L79:L80"/>
    <mergeCell ref="M79:M80"/>
    <mergeCell ref="O91:O93"/>
    <mergeCell ref="P91:P93"/>
    <mergeCell ref="N94:N97"/>
    <mergeCell ref="O94:O97"/>
    <mergeCell ref="A94:A97"/>
    <mergeCell ref="B94:B97"/>
    <mergeCell ref="H94:H97"/>
    <mergeCell ref="I94:I97"/>
    <mergeCell ref="I91:I93"/>
    <mergeCell ref="N79:N80"/>
    <mergeCell ref="O79:O80"/>
    <mergeCell ref="A91:A93"/>
    <mergeCell ref="B91:B93"/>
    <mergeCell ref="C91:C93"/>
    <mergeCell ref="E91:E93"/>
    <mergeCell ref="F91:F93"/>
    <mergeCell ref="G91:G93"/>
    <mergeCell ref="H91:H93"/>
    <mergeCell ref="H79:H80"/>
    <mergeCell ref="I79:I80"/>
    <mergeCell ref="A79:A80"/>
    <mergeCell ref="B79:B80"/>
    <mergeCell ref="C79:C80"/>
    <mergeCell ref="E79:E80"/>
    <mergeCell ref="F79:F80"/>
    <mergeCell ref="G79:G80"/>
    <mergeCell ref="A98:A100"/>
    <mergeCell ref="B98:B100"/>
    <mergeCell ref="C98:C100"/>
    <mergeCell ref="E98:E100"/>
    <mergeCell ref="F98:F100"/>
    <mergeCell ref="G98:G100"/>
    <mergeCell ref="H98:H100"/>
    <mergeCell ref="I98:I100"/>
    <mergeCell ref="J98:J100"/>
    <mergeCell ref="A109:A110"/>
    <mergeCell ref="B109:B110"/>
    <mergeCell ref="C109:C110"/>
    <mergeCell ref="E109:E110"/>
    <mergeCell ref="F109:F110"/>
    <mergeCell ref="G109:G110"/>
    <mergeCell ref="H109:H110"/>
    <mergeCell ref="H101:H103"/>
    <mergeCell ref="I101:I103"/>
    <mergeCell ref="A101:A103"/>
    <mergeCell ref="B101:B103"/>
    <mergeCell ref="C101:C103"/>
    <mergeCell ref="E101:E103"/>
    <mergeCell ref="K109:K110"/>
    <mergeCell ref="L109:L110"/>
    <mergeCell ref="C94:C97"/>
    <mergeCell ref="E94:E97"/>
    <mergeCell ref="F94:F97"/>
    <mergeCell ref="G94:G97"/>
    <mergeCell ref="N101:N103"/>
    <mergeCell ref="O101:O103"/>
    <mergeCell ref="P101:P103"/>
    <mergeCell ref="J101:J103"/>
    <mergeCell ref="K101:K103"/>
    <mergeCell ref="L101:L103"/>
    <mergeCell ref="M101:M103"/>
    <mergeCell ref="K98:K100"/>
    <mergeCell ref="L98:L100"/>
    <mergeCell ref="M98:M100"/>
    <mergeCell ref="N98:N100"/>
    <mergeCell ref="O98:O100"/>
    <mergeCell ref="P98:P100"/>
    <mergeCell ref="P94:P97"/>
    <mergeCell ref="J94:J97"/>
    <mergeCell ref="K94:K97"/>
    <mergeCell ref="L94:L97"/>
    <mergeCell ref="M94:M97"/>
    <mergeCell ref="M109:M110"/>
    <mergeCell ref="N109:N110"/>
    <mergeCell ref="F101:F103"/>
    <mergeCell ref="G101:G103"/>
    <mergeCell ref="P156:P157"/>
    <mergeCell ref="A199:P199"/>
    <mergeCell ref="J156:J157"/>
    <mergeCell ref="K156:K157"/>
    <mergeCell ref="L156:L157"/>
    <mergeCell ref="M156:M157"/>
    <mergeCell ref="N156:N157"/>
    <mergeCell ref="O156:O157"/>
    <mergeCell ref="O109:O110"/>
    <mergeCell ref="P109:P110"/>
    <mergeCell ref="A156:A157"/>
    <mergeCell ref="B156:B157"/>
    <mergeCell ref="C156:C157"/>
    <mergeCell ref="E156:E157"/>
    <mergeCell ref="F156:F157"/>
    <mergeCell ref="G156:G157"/>
    <mergeCell ref="H156:H157"/>
    <mergeCell ref="I156:I157"/>
    <mergeCell ref="I109:I110"/>
    <mergeCell ref="J109:J110"/>
  </mergeCells>
  <pageMargins left="0.23622047244094491" right="0.27559055118110237" top="0.27559055118110237" bottom="0.15748031496062992" header="0.23622047244094491" footer="0.27559055118110237"/>
  <pageSetup paperSize="9" scale="15" fitToHeight="0" orientation="landscape" r:id="rId1"/>
  <headerFooter alignWithMargins="0">
    <oddFooter>&amp;C&amp;"Times New Roman Cyr,курсив"Сторінка &amp;P з &amp;N</oddFooter>
  </headerFooter>
  <rowBreaks count="3" manualBreakCount="3">
    <brk id="28" max="15" man="1"/>
    <brk id="48" max="15" man="1"/>
    <brk id="69"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224"/>
  <sheetViews>
    <sheetView view="pageBreakPreview" topLeftCell="E1" zoomScale="25" zoomScaleNormal="25" zoomScaleSheetLayoutView="25" zoomScalePageLayoutView="10" workbookViewId="0">
      <pane ySplit="12" topLeftCell="A13" activePane="bottomLeft" state="frozen"/>
      <selection activeCell="K153" sqref="K153"/>
      <selection pane="bottomLeft" activeCell="F64" sqref="F64"/>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66.42578125" style="5" customWidth="1"/>
    <col min="6" max="6" width="58.5703125" style="1" customWidth="1"/>
    <col min="7" max="7" width="55.42578125" style="1" customWidth="1"/>
    <col min="8" max="8" width="48.140625" style="1" customWidth="1"/>
    <col min="9" max="9" width="41.85546875" style="1" customWidth="1"/>
    <col min="10" max="10" width="50.5703125" style="5" customWidth="1"/>
    <col min="11" max="11" width="52.5703125" style="5" customWidth="1"/>
    <col min="12" max="12" width="56.140625" style="1" customWidth="1"/>
    <col min="13" max="13" width="54.85546875" style="1" customWidth="1"/>
    <col min="14" max="14" width="45.28515625" style="1" bestFit="1" customWidth="1"/>
    <col min="15" max="15" width="56.140625" style="1" bestFit="1" customWidth="1"/>
    <col min="16" max="16" width="86.28515625" style="5" customWidth="1"/>
    <col min="17" max="17" width="52.140625" style="444" customWidth="1"/>
    <col min="18" max="18" width="66.42578125" style="444" bestFit="1" customWidth="1"/>
    <col min="19" max="19" width="9.140625" style="444"/>
    <col min="20" max="20" width="24.7109375" style="444" bestFit="1" customWidth="1"/>
    <col min="21" max="16384" width="9.140625" style="444"/>
  </cols>
  <sheetData>
    <row r="2" spans="1:18" ht="45.75" x14ac:dyDescent="0.2">
      <c r="D2" s="446"/>
      <c r="E2" s="447"/>
      <c r="F2" s="445"/>
      <c r="G2" s="447"/>
      <c r="H2" s="447"/>
      <c r="I2" s="447"/>
      <c r="J2" s="447"/>
      <c r="K2" s="447"/>
      <c r="L2" s="447"/>
      <c r="M2" s="447"/>
      <c r="N2" s="470" t="s">
        <v>89</v>
      </c>
      <c r="O2" s="458"/>
      <c r="P2" s="458"/>
      <c r="Q2" s="458"/>
    </row>
    <row r="3" spans="1:18" ht="45.75" x14ac:dyDescent="0.2">
      <c r="A3" s="446"/>
      <c r="B3" s="446"/>
      <c r="C3" s="446"/>
      <c r="D3" s="446"/>
      <c r="E3" s="447"/>
      <c r="F3" s="445"/>
      <c r="G3" s="447"/>
      <c r="H3" s="447"/>
      <c r="I3" s="447"/>
      <c r="J3" s="447"/>
      <c r="K3" s="447"/>
      <c r="L3" s="447"/>
      <c r="M3" s="447"/>
      <c r="N3" s="470" t="s">
        <v>888</v>
      </c>
      <c r="O3" s="471"/>
      <c r="P3" s="471"/>
      <c r="Q3" s="471"/>
    </row>
    <row r="4" spans="1:18" ht="40.700000000000003" customHeight="1" x14ac:dyDescent="0.2">
      <c r="A4" s="446"/>
      <c r="B4" s="446"/>
      <c r="C4" s="446"/>
      <c r="D4" s="446"/>
      <c r="E4" s="447"/>
      <c r="F4" s="445"/>
      <c r="G4" s="447"/>
      <c r="H4" s="447"/>
      <c r="I4" s="447"/>
      <c r="J4" s="447"/>
      <c r="K4" s="447"/>
      <c r="L4" s="447"/>
      <c r="M4" s="447"/>
      <c r="N4" s="447"/>
      <c r="O4" s="470"/>
      <c r="P4" s="472"/>
    </row>
    <row r="5" spans="1:18" ht="45.75" hidden="1" x14ac:dyDescent="0.2">
      <c r="A5" s="446"/>
      <c r="B5" s="446"/>
      <c r="C5" s="446"/>
      <c r="D5" s="446"/>
      <c r="E5" s="447"/>
      <c r="F5" s="445"/>
      <c r="G5" s="447"/>
      <c r="H5" s="447"/>
      <c r="I5" s="447"/>
      <c r="J5" s="447"/>
      <c r="K5" s="447"/>
      <c r="L5" s="447"/>
      <c r="M5" s="447"/>
      <c r="N5" s="447"/>
      <c r="O5" s="446"/>
      <c r="P5" s="445"/>
    </row>
    <row r="6" spans="1:18" ht="45" x14ac:dyDescent="0.2">
      <c r="A6" s="474" t="s">
        <v>88</v>
      </c>
      <c r="B6" s="474"/>
      <c r="C6" s="474"/>
      <c r="D6" s="474"/>
      <c r="E6" s="474"/>
      <c r="F6" s="474"/>
      <c r="G6" s="474"/>
      <c r="H6" s="474"/>
      <c r="I6" s="474"/>
      <c r="J6" s="474"/>
      <c r="K6" s="474"/>
      <c r="L6" s="474"/>
      <c r="M6" s="474"/>
      <c r="N6" s="474"/>
      <c r="O6" s="474"/>
      <c r="P6" s="474"/>
    </row>
    <row r="7" spans="1:18" ht="45" x14ac:dyDescent="0.2">
      <c r="A7" s="474" t="s">
        <v>639</v>
      </c>
      <c r="B7" s="474"/>
      <c r="C7" s="474"/>
      <c r="D7" s="474"/>
      <c r="E7" s="474"/>
      <c r="F7" s="474"/>
      <c r="G7" s="474"/>
      <c r="H7" s="474"/>
      <c r="I7" s="474"/>
      <c r="J7" s="474"/>
      <c r="K7" s="474"/>
      <c r="L7" s="474"/>
      <c r="M7" s="474"/>
      <c r="N7" s="474"/>
      <c r="O7" s="474"/>
      <c r="P7" s="474"/>
    </row>
    <row r="8" spans="1:18" ht="53.45" customHeight="1" x14ac:dyDescent="0.2">
      <c r="A8" s="447"/>
      <c r="B8" s="447"/>
      <c r="C8" s="447"/>
      <c r="D8" s="447"/>
      <c r="E8" s="447"/>
      <c r="F8" s="445"/>
      <c r="G8" s="447"/>
      <c r="H8" s="447"/>
      <c r="I8" s="447"/>
      <c r="J8" s="447"/>
      <c r="K8" s="447"/>
      <c r="L8" s="447"/>
      <c r="M8" s="447"/>
      <c r="N8" s="447"/>
      <c r="O8" s="447"/>
      <c r="P8" s="10" t="s">
        <v>640</v>
      </c>
    </row>
    <row r="9" spans="1:18" ht="62.45" customHeight="1" x14ac:dyDescent="0.2">
      <c r="A9" s="478" t="s">
        <v>29</v>
      </c>
      <c r="B9" s="478" t="s">
        <v>641</v>
      </c>
      <c r="C9" s="478" t="s">
        <v>648</v>
      </c>
      <c r="D9" s="478" t="s">
        <v>642</v>
      </c>
      <c r="E9" s="473" t="s">
        <v>25</v>
      </c>
      <c r="F9" s="473"/>
      <c r="G9" s="473"/>
      <c r="H9" s="473"/>
      <c r="I9" s="473"/>
      <c r="J9" s="483" t="s">
        <v>84</v>
      </c>
      <c r="K9" s="484"/>
      <c r="L9" s="484"/>
      <c r="M9" s="484"/>
      <c r="N9" s="484"/>
      <c r="O9" s="485"/>
      <c r="P9" s="473" t="s">
        <v>24</v>
      </c>
    </row>
    <row r="10" spans="1:18" ht="255" customHeight="1" x14ac:dyDescent="0.2">
      <c r="A10" s="479"/>
      <c r="B10" s="481"/>
      <c r="C10" s="481"/>
      <c r="D10" s="479"/>
      <c r="E10" s="475" t="s">
        <v>636</v>
      </c>
      <c r="F10" s="475" t="s">
        <v>85</v>
      </c>
      <c r="G10" s="475" t="s">
        <v>26</v>
      </c>
      <c r="H10" s="475"/>
      <c r="I10" s="475" t="s">
        <v>87</v>
      </c>
      <c r="J10" s="475" t="s">
        <v>636</v>
      </c>
      <c r="K10" s="475" t="s">
        <v>637</v>
      </c>
      <c r="L10" s="475" t="s">
        <v>85</v>
      </c>
      <c r="M10" s="475" t="s">
        <v>26</v>
      </c>
      <c r="N10" s="475"/>
      <c r="O10" s="475" t="s">
        <v>87</v>
      </c>
      <c r="P10" s="473"/>
    </row>
    <row r="11" spans="1:18" ht="135" x14ac:dyDescent="0.2">
      <c r="A11" s="480"/>
      <c r="B11" s="480"/>
      <c r="C11" s="480"/>
      <c r="D11" s="480"/>
      <c r="E11" s="475"/>
      <c r="F11" s="475"/>
      <c r="G11" s="448" t="s">
        <v>86</v>
      </c>
      <c r="H11" s="448" t="s">
        <v>28</v>
      </c>
      <c r="I11" s="475"/>
      <c r="J11" s="475"/>
      <c r="K11" s="475"/>
      <c r="L11" s="475"/>
      <c r="M11" s="448" t="s">
        <v>86</v>
      </c>
      <c r="N11" s="448" t="s">
        <v>28</v>
      </c>
      <c r="O11" s="475"/>
      <c r="P11" s="473"/>
    </row>
    <row r="12" spans="1:18" s="2" customFormat="1" ht="111" customHeight="1" x14ac:dyDescent="0.2">
      <c r="A12" s="11" t="s">
        <v>4</v>
      </c>
      <c r="B12" s="11" t="s">
        <v>5</v>
      </c>
      <c r="C12" s="11" t="s">
        <v>27</v>
      </c>
      <c r="D12" s="11" t="s">
        <v>7</v>
      </c>
      <c r="E12" s="11" t="s">
        <v>651</v>
      </c>
      <c r="F12" s="11" t="s">
        <v>652</v>
      </c>
      <c r="G12" s="11" t="s">
        <v>653</v>
      </c>
      <c r="H12" s="11" t="s">
        <v>654</v>
      </c>
      <c r="I12" s="11" t="s">
        <v>655</v>
      </c>
      <c r="J12" s="11" t="s">
        <v>656</v>
      </c>
      <c r="K12" s="11" t="s">
        <v>657</v>
      </c>
      <c r="L12" s="11" t="s">
        <v>658</v>
      </c>
      <c r="M12" s="11" t="s">
        <v>659</v>
      </c>
      <c r="N12" s="11" t="s">
        <v>660</v>
      </c>
      <c r="O12" s="11" t="s">
        <v>661</v>
      </c>
      <c r="P12" s="11" t="s">
        <v>662</v>
      </c>
    </row>
    <row r="13" spans="1:18" s="2" customFormat="1" ht="135" x14ac:dyDescent="0.2">
      <c r="A13" s="327" t="s">
        <v>228</v>
      </c>
      <c r="B13" s="327"/>
      <c r="C13" s="327"/>
      <c r="D13" s="328" t="s">
        <v>230</v>
      </c>
      <c r="E13" s="329">
        <f>E14</f>
        <v>92823478</v>
      </c>
      <c r="F13" s="329">
        <f t="shared" ref="F13:N13" si="0">F14</f>
        <v>92823478</v>
      </c>
      <c r="G13" s="329">
        <f t="shared" si="0"/>
        <v>56230600</v>
      </c>
      <c r="H13" s="329">
        <f t="shared" si="0"/>
        <v>2061640</v>
      </c>
      <c r="I13" s="329">
        <f t="shared" si="0"/>
        <v>0</v>
      </c>
      <c r="J13" s="329">
        <f t="shared" si="0"/>
        <v>12748940.039999999</v>
      </c>
      <c r="K13" s="329">
        <f t="shared" si="0"/>
        <v>9172679</v>
      </c>
      <c r="L13" s="329">
        <f t="shared" si="0"/>
        <v>3546261.04</v>
      </c>
      <c r="M13" s="329">
        <f t="shared" si="0"/>
        <v>0</v>
      </c>
      <c r="N13" s="329">
        <f t="shared" si="0"/>
        <v>0</v>
      </c>
      <c r="O13" s="329">
        <f>O14</f>
        <v>9202679</v>
      </c>
      <c r="P13" s="329">
        <f t="shared" ref="P13" si="1">P14</f>
        <v>105572418.03999999</v>
      </c>
    </row>
    <row r="14" spans="1:18" s="2" customFormat="1" ht="135" x14ac:dyDescent="0.2">
      <c r="A14" s="324" t="s">
        <v>229</v>
      </c>
      <c r="B14" s="324"/>
      <c r="C14" s="324"/>
      <c r="D14" s="325" t="s">
        <v>231</v>
      </c>
      <c r="E14" s="326">
        <f>SUM(E15:E24)</f>
        <v>92823478</v>
      </c>
      <c r="F14" s="326">
        <f t="shared" ref="F14:I14" si="2">SUM(F15:F24)</f>
        <v>92823478</v>
      </c>
      <c r="G14" s="326">
        <f t="shared" si="2"/>
        <v>56230600</v>
      </c>
      <c r="H14" s="326">
        <f t="shared" si="2"/>
        <v>2061640</v>
      </c>
      <c r="I14" s="326">
        <f t="shared" si="2"/>
        <v>0</v>
      </c>
      <c r="J14" s="326">
        <f t="shared" ref="J14:J19" si="3">L14+O14</f>
        <v>12748940.039999999</v>
      </c>
      <c r="K14" s="326">
        <f t="shared" ref="K14:O14" si="4">SUM(K15:K24)</f>
        <v>9172679</v>
      </c>
      <c r="L14" s="326">
        <f t="shared" si="4"/>
        <v>3546261.04</v>
      </c>
      <c r="M14" s="326">
        <f t="shared" si="4"/>
        <v>0</v>
      </c>
      <c r="N14" s="326">
        <f t="shared" si="4"/>
        <v>0</v>
      </c>
      <c r="O14" s="326">
        <f t="shared" si="4"/>
        <v>9202679</v>
      </c>
      <c r="P14" s="326">
        <f>E14+J14</f>
        <v>105572418.03999999</v>
      </c>
      <c r="Q14" s="136" t="b">
        <f>P15+P16+P17+P18+P21+P22+P19+P23+P24=P14</f>
        <v>1</v>
      </c>
      <c r="R14" s="136" t="b">
        <f>K14='d5'!I6</f>
        <v>1</v>
      </c>
    </row>
    <row r="15" spans="1:18" ht="320.25" x14ac:dyDescent="0.2">
      <c r="A15" s="454" t="s">
        <v>331</v>
      </c>
      <c r="B15" s="454" t="s">
        <v>332</v>
      </c>
      <c r="C15" s="454" t="s">
        <v>333</v>
      </c>
      <c r="D15" s="454" t="s">
        <v>330</v>
      </c>
      <c r="E15" s="453">
        <f t="shared" ref="E15:E24" si="5">F15</f>
        <v>79687920</v>
      </c>
      <c r="F15" s="249">
        <f>((79041400)+23604)+622916</f>
        <v>79687920</v>
      </c>
      <c r="G15" s="249">
        <f>54985000+1245600</f>
        <v>56230600</v>
      </c>
      <c r="H15" s="249">
        <f>((2510600)+11000)-451000-3000-3000-160-2800</f>
        <v>2061640</v>
      </c>
      <c r="I15" s="249"/>
      <c r="J15" s="453">
        <f t="shared" si="3"/>
        <v>1078500</v>
      </c>
      <c r="K15" s="249">
        <f>((210000)+568500)+300000</f>
        <v>1078500</v>
      </c>
      <c r="L15" s="264"/>
      <c r="M15" s="265"/>
      <c r="N15" s="265"/>
      <c r="O15" s="266">
        <f>K15</f>
        <v>1078500</v>
      </c>
      <c r="P15" s="453">
        <f>+J15+E15</f>
        <v>80766420</v>
      </c>
      <c r="R15" s="136" t="b">
        <f>K15='d5'!I8</f>
        <v>1</v>
      </c>
    </row>
    <row r="16" spans="1:18" ht="91.5" x14ac:dyDescent="0.2">
      <c r="A16" s="454" t="s">
        <v>347</v>
      </c>
      <c r="B16" s="454" t="s">
        <v>71</v>
      </c>
      <c r="C16" s="454" t="s">
        <v>70</v>
      </c>
      <c r="D16" s="454" t="s">
        <v>348</v>
      </c>
      <c r="E16" s="453">
        <f t="shared" si="5"/>
        <v>2305000</v>
      </c>
      <c r="F16" s="311">
        <f>(1305000)+1000000</f>
        <v>2305000</v>
      </c>
      <c r="G16" s="311"/>
      <c r="H16" s="311"/>
      <c r="I16" s="311"/>
      <c r="J16" s="453">
        <f t="shared" si="3"/>
        <v>475727</v>
      </c>
      <c r="K16" s="311">
        <v>475727</v>
      </c>
      <c r="L16" s="311"/>
      <c r="M16" s="311"/>
      <c r="N16" s="311"/>
      <c r="O16" s="266">
        <f>K16</f>
        <v>475727</v>
      </c>
      <c r="P16" s="453">
        <f>E16+J16</f>
        <v>2780727</v>
      </c>
      <c r="R16" s="136"/>
    </row>
    <row r="17" spans="1:20" ht="91.5" x14ac:dyDescent="0.2">
      <c r="A17" s="454" t="s">
        <v>337</v>
      </c>
      <c r="B17" s="454" t="s">
        <v>338</v>
      </c>
      <c r="C17" s="454" t="s">
        <v>339</v>
      </c>
      <c r="D17" s="454" t="s">
        <v>336</v>
      </c>
      <c r="E17" s="453">
        <f t="shared" si="5"/>
        <v>3236400</v>
      </c>
      <c r="F17" s="311">
        <v>3236400</v>
      </c>
      <c r="G17" s="311">
        <f>H17+I17</f>
        <v>0</v>
      </c>
      <c r="H17" s="311"/>
      <c r="I17" s="311"/>
      <c r="J17" s="453">
        <f t="shared" si="3"/>
        <v>3500000</v>
      </c>
      <c r="K17" s="311">
        <f>(1500000)+2000000</f>
        <v>3500000</v>
      </c>
      <c r="L17" s="311"/>
      <c r="M17" s="311"/>
      <c r="N17" s="311"/>
      <c r="O17" s="266">
        <f>K17</f>
        <v>3500000</v>
      </c>
      <c r="P17" s="453">
        <f>+J17+E17</f>
        <v>6736400</v>
      </c>
      <c r="R17" s="136" t="b">
        <f>K17='d5'!I10</f>
        <v>1</v>
      </c>
    </row>
    <row r="18" spans="1:20" ht="137.25" x14ac:dyDescent="0.2">
      <c r="A18" s="454" t="s">
        <v>439</v>
      </c>
      <c r="B18" s="454" t="s">
        <v>440</v>
      </c>
      <c r="C18" s="454" t="s">
        <v>250</v>
      </c>
      <c r="D18" s="449" t="s">
        <v>438</v>
      </c>
      <c r="E18" s="453">
        <f t="shared" si="5"/>
        <v>161050</v>
      </c>
      <c r="F18" s="311">
        <f>165000-3950</f>
        <v>161050</v>
      </c>
      <c r="G18" s="311"/>
      <c r="H18" s="311"/>
      <c r="I18" s="311"/>
      <c r="J18" s="453">
        <f t="shared" si="3"/>
        <v>0</v>
      </c>
      <c r="K18" s="311"/>
      <c r="L18" s="311"/>
      <c r="M18" s="311"/>
      <c r="N18" s="311"/>
      <c r="O18" s="266">
        <f>K18</f>
        <v>0</v>
      </c>
      <c r="P18" s="453">
        <f>+J18+E18</f>
        <v>161050</v>
      </c>
      <c r="R18" s="136"/>
    </row>
    <row r="19" spans="1:20" s="118" customFormat="1" ht="409.5" x14ac:dyDescent="0.2">
      <c r="A19" s="476" t="s">
        <v>526</v>
      </c>
      <c r="B19" s="476" t="s">
        <v>525</v>
      </c>
      <c r="C19" s="476" t="s">
        <v>250</v>
      </c>
      <c r="D19" s="267" t="s">
        <v>536</v>
      </c>
      <c r="E19" s="486">
        <f t="shared" si="5"/>
        <v>0</v>
      </c>
      <c r="F19" s="482"/>
      <c r="G19" s="482"/>
      <c r="H19" s="482"/>
      <c r="I19" s="482"/>
      <c r="J19" s="488">
        <f t="shared" si="3"/>
        <v>3576261.04</v>
      </c>
      <c r="K19" s="482"/>
      <c r="L19" s="482">
        <f>((2225100)+643666.04)+543000+134495</f>
        <v>3546261.04</v>
      </c>
      <c r="M19" s="482"/>
      <c r="N19" s="482"/>
      <c r="O19" s="493">
        <f>(K19+50000)-20000</f>
        <v>30000</v>
      </c>
      <c r="P19" s="486">
        <f>E19+J19</f>
        <v>3576261.04</v>
      </c>
      <c r="Q19" s="216">
        <f>P19</f>
        <v>3576261.04</v>
      </c>
    </row>
    <row r="20" spans="1:20" s="118" customFormat="1" ht="137.25" x14ac:dyDescent="0.2">
      <c r="A20" s="477"/>
      <c r="B20" s="477"/>
      <c r="C20" s="477"/>
      <c r="D20" s="268" t="s">
        <v>537</v>
      </c>
      <c r="E20" s="487"/>
      <c r="F20" s="490"/>
      <c r="G20" s="490"/>
      <c r="H20" s="490"/>
      <c r="I20" s="490"/>
      <c r="J20" s="477"/>
      <c r="K20" s="477"/>
      <c r="L20" s="490"/>
      <c r="M20" s="490"/>
      <c r="N20" s="490"/>
      <c r="O20" s="495"/>
      <c r="P20" s="487"/>
    </row>
    <row r="21" spans="1:20" ht="91.5" x14ac:dyDescent="0.2">
      <c r="A21" s="454" t="s">
        <v>340</v>
      </c>
      <c r="B21" s="454" t="s">
        <v>341</v>
      </c>
      <c r="C21" s="454" t="s">
        <v>342</v>
      </c>
      <c r="D21" s="449" t="s">
        <v>343</v>
      </c>
      <c r="E21" s="453">
        <f>F21</f>
        <v>4573000</v>
      </c>
      <c r="F21" s="311">
        <f>((3515000)+130000)+928000</f>
        <v>4573000</v>
      </c>
      <c r="G21" s="311"/>
      <c r="H21" s="311"/>
      <c r="I21" s="311"/>
      <c r="J21" s="453">
        <f>L21+O21</f>
        <v>0</v>
      </c>
      <c r="K21" s="311"/>
      <c r="L21" s="311"/>
      <c r="M21" s="311"/>
      <c r="N21" s="311"/>
      <c r="O21" s="266">
        <f>K21</f>
        <v>0</v>
      </c>
      <c r="P21" s="453">
        <f>E21+J21</f>
        <v>4573000</v>
      </c>
    </row>
    <row r="22" spans="1:20" ht="228.75" x14ac:dyDescent="0.2">
      <c r="A22" s="454" t="s">
        <v>344</v>
      </c>
      <c r="B22" s="454" t="s">
        <v>345</v>
      </c>
      <c r="C22" s="454" t="s">
        <v>71</v>
      </c>
      <c r="D22" s="454" t="s">
        <v>346</v>
      </c>
      <c r="E22" s="453">
        <f t="shared" si="5"/>
        <v>190000</v>
      </c>
      <c r="F22" s="311">
        <v>190000</v>
      </c>
      <c r="G22" s="311"/>
      <c r="H22" s="311"/>
      <c r="I22" s="311"/>
      <c r="J22" s="453">
        <f>L22+O22</f>
        <v>0</v>
      </c>
      <c r="K22" s="311"/>
      <c r="L22" s="311"/>
      <c r="M22" s="311"/>
      <c r="N22" s="311"/>
      <c r="O22" s="266">
        <f>K22</f>
        <v>0</v>
      </c>
      <c r="P22" s="453">
        <f>E22+J22</f>
        <v>190000</v>
      </c>
    </row>
    <row r="23" spans="1:20" ht="91.5" x14ac:dyDescent="0.2">
      <c r="A23" s="454" t="s">
        <v>840</v>
      </c>
      <c r="B23" s="454" t="s">
        <v>587</v>
      </c>
      <c r="C23" s="454" t="s">
        <v>71</v>
      </c>
      <c r="D23" s="454" t="s">
        <v>588</v>
      </c>
      <c r="E23" s="453">
        <f t="shared" si="5"/>
        <v>0</v>
      </c>
      <c r="F23" s="311"/>
      <c r="G23" s="311"/>
      <c r="H23" s="311"/>
      <c r="I23" s="311"/>
      <c r="J23" s="453">
        <f t="shared" ref="J23:J24" si="6">L23+O23</f>
        <v>100000</v>
      </c>
      <c r="K23" s="311">
        <v>100000</v>
      </c>
      <c r="L23" s="311"/>
      <c r="M23" s="311"/>
      <c r="N23" s="311"/>
      <c r="O23" s="266">
        <f t="shared" ref="O23:O24" si="7">K23</f>
        <v>100000</v>
      </c>
      <c r="P23" s="453">
        <f t="shared" ref="P23:P24" si="8">E23+J23</f>
        <v>100000</v>
      </c>
      <c r="R23" s="136" t="b">
        <f>K23='d5'!I11</f>
        <v>1</v>
      </c>
    </row>
    <row r="24" spans="1:20" ht="183" x14ac:dyDescent="0.2">
      <c r="A24" s="454" t="s">
        <v>842</v>
      </c>
      <c r="B24" s="454" t="s">
        <v>843</v>
      </c>
      <c r="C24" s="454" t="s">
        <v>71</v>
      </c>
      <c r="D24" s="454" t="s">
        <v>841</v>
      </c>
      <c r="E24" s="453">
        <f t="shared" si="5"/>
        <v>2670108</v>
      </c>
      <c r="F24" s="311">
        <f>((2170108)+200000)+300000</f>
        <v>2670108</v>
      </c>
      <c r="G24" s="311"/>
      <c r="H24" s="311"/>
      <c r="I24" s="311"/>
      <c r="J24" s="453">
        <f t="shared" si="6"/>
        <v>4018452</v>
      </c>
      <c r="K24" s="311">
        <f>(3518452)+500000</f>
        <v>4018452</v>
      </c>
      <c r="L24" s="311"/>
      <c r="M24" s="311"/>
      <c r="N24" s="311"/>
      <c r="O24" s="266">
        <f t="shared" si="7"/>
        <v>4018452</v>
      </c>
      <c r="P24" s="453">
        <f t="shared" si="8"/>
        <v>6688560</v>
      </c>
      <c r="R24" s="136" t="b">
        <f>K24='d5'!I14+'d5'!I12+'d5'!I13</f>
        <v>1</v>
      </c>
    </row>
    <row r="25" spans="1:20" ht="135" x14ac:dyDescent="0.2">
      <c r="A25" s="327" t="s">
        <v>232</v>
      </c>
      <c r="B25" s="327"/>
      <c r="C25" s="327"/>
      <c r="D25" s="328" t="s">
        <v>0</v>
      </c>
      <c r="E25" s="329">
        <f>E26</f>
        <v>1009891823.4</v>
      </c>
      <c r="F25" s="329">
        <f t="shared" ref="F25:G25" si="9">F26</f>
        <v>1009891823.4</v>
      </c>
      <c r="G25" s="329">
        <f t="shared" si="9"/>
        <v>666326424.39999998</v>
      </c>
      <c r="H25" s="329">
        <f>H26</f>
        <v>81536915</v>
      </c>
      <c r="I25" s="329">
        <f t="shared" ref="I25" si="10">I26</f>
        <v>0</v>
      </c>
      <c r="J25" s="329">
        <f>J26</f>
        <v>147440013.03999999</v>
      </c>
      <c r="K25" s="329">
        <f>K26</f>
        <v>42828398.039999999</v>
      </c>
      <c r="L25" s="329">
        <f>L26</f>
        <v>103434212.53</v>
      </c>
      <c r="M25" s="329">
        <f t="shared" ref="M25" si="11">M26</f>
        <v>27935261</v>
      </c>
      <c r="N25" s="329">
        <f>N26</f>
        <v>8627315.4000000004</v>
      </c>
      <c r="O25" s="329">
        <f>O26</f>
        <v>44005800.509999998</v>
      </c>
      <c r="P25" s="329">
        <f t="shared" ref="P25" si="12">P26</f>
        <v>1157331836.4400001</v>
      </c>
    </row>
    <row r="26" spans="1:20" ht="135" x14ac:dyDescent="0.2">
      <c r="A26" s="324" t="s">
        <v>233</v>
      </c>
      <c r="B26" s="324"/>
      <c r="C26" s="324"/>
      <c r="D26" s="325" t="s">
        <v>1</v>
      </c>
      <c r="E26" s="326">
        <f>SUM(E27:E38)</f>
        <v>1009891823.4</v>
      </c>
      <c r="F26" s="326">
        <f>SUM(F27:F38)</f>
        <v>1009891823.4</v>
      </c>
      <c r="G26" s="326">
        <f>SUM(G27:G38)</f>
        <v>666326424.39999998</v>
      </c>
      <c r="H26" s="326">
        <f>SUM(H27:H38)</f>
        <v>81536915</v>
      </c>
      <c r="I26" s="326">
        <f>SUM(I27:I38)</f>
        <v>0</v>
      </c>
      <c r="J26" s="326">
        <f>L26+O26</f>
        <v>147440013.03999999</v>
      </c>
      <c r="K26" s="326">
        <f>SUM(K27:K38)</f>
        <v>42828398.039999999</v>
      </c>
      <c r="L26" s="326">
        <f>SUM(L27:L38)</f>
        <v>103434212.53</v>
      </c>
      <c r="M26" s="326">
        <f>SUM(M27:M38)</f>
        <v>27935261</v>
      </c>
      <c r="N26" s="326">
        <f>SUM(N27:N38)</f>
        <v>8627315.4000000004</v>
      </c>
      <c r="O26" s="326">
        <f>SUM(O27:O38)</f>
        <v>44005800.509999998</v>
      </c>
      <c r="P26" s="326">
        <f t="shared" ref="P26:P38" si="13">E26+J26</f>
        <v>1157331836.4400001</v>
      </c>
      <c r="Q26" s="136" t="b">
        <f>P26=P27+P28+P29+P30+P31+P32+P33+P34+P36+P35+P38+P37</f>
        <v>1</v>
      </c>
      <c r="R26" s="136" t="b">
        <f>K26='d5'!I16</f>
        <v>1</v>
      </c>
    </row>
    <row r="27" spans="1:20" ht="46.5" x14ac:dyDescent="0.6">
      <c r="A27" s="454" t="s">
        <v>288</v>
      </c>
      <c r="B27" s="454" t="s">
        <v>289</v>
      </c>
      <c r="C27" s="454" t="s">
        <v>291</v>
      </c>
      <c r="D27" s="454" t="s">
        <v>292</v>
      </c>
      <c r="E27" s="453">
        <f>F27</f>
        <v>279390771</v>
      </c>
      <c r="F27" s="311">
        <f>(((165508870+36411952+4442800+121320+24563500+1338350+273720+18519120+1241048+6540100+35500+100000)+4545735+913000)+3274731+3051220+890796+496030+8642500+22300+208820+12652+36000+10000+25000+2384000+346000-3000000+26483+102843)-1003619-450000-240000</f>
        <v>279390771</v>
      </c>
      <c r="G27" s="311">
        <f>((165508870)+1966600+748360)+2684206+2501008+730163+406580+7160000-450000</f>
        <v>181255787</v>
      </c>
      <c r="H27" s="311">
        <f>((26559008)+2384000+346000)-1528000</f>
        <v>27761008</v>
      </c>
      <c r="I27" s="311"/>
      <c r="J27" s="453">
        <f t="shared" ref="J27:J35" si="14">L27+O27</f>
        <v>46551116</v>
      </c>
      <c r="K27" s="311">
        <f>((6653272)-500000+400000-292260+265777-295360+192517)+6750</f>
        <v>6430696</v>
      </c>
      <c r="L27" s="311">
        <f>39787420+197651+50465-10440-105090-7730-2000</f>
        <v>39910276</v>
      </c>
      <c r="M27" s="311">
        <f>(7603840)+197651</f>
        <v>7801491</v>
      </c>
      <c r="N27" s="311">
        <v>876470.92</v>
      </c>
      <c r="O27" s="266">
        <f>(K27+333000)-122856</f>
        <v>6640840</v>
      </c>
      <c r="P27" s="453">
        <f t="shared" si="13"/>
        <v>325941887</v>
      </c>
      <c r="Q27" s="14"/>
      <c r="R27" s="232" t="b">
        <f>K27='d5'!I17</f>
        <v>1</v>
      </c>
    </row>
    <row r="28" spans="1:20" ht="320.25" x14ac:dyDescent="0.55000000000000004">
      <c r="A28" s="454" t="s">
        <v>294</v>
      </c>
      <c r="B28" s="454" t="s">
        <v>290</v>
      </c>
      <c r="C28" s="454" t="s">
        <v>295</v>
      </c>
      <c r="D28" s="454" t="s">
        <v>612</v>
      </c>
      <c r="E28" s="453">
        <f t="shared" ref="E28:E33" si="15">F28</f>
        <v>566180242.39999998</v>
      </c>
      <c r="F28" s="311">
        <f>((566488460.4)+144832+139690+41202+384700-7068800+88000+57100+19234+72226+10000+26254+121000+166800+300000+100000+300000+178313+199999-3500000+648000-68114+17500-116668+290193+295000-178313+150000+3156560-1893940-572000)+2886700+622500+61019+137000+6660+70891-295000+78189+199637+44000+123496+26196+38355+62753+25193+19846+180383+105410+117860+114186+785800-1400000-600000+60000-300000-300000-72000+2398988-505048+1301300+188700</f>
        <v>566180242.39999998</v>
      </c>
      <c r="G28" s="311">
        <f>(((377515910+1668354)+4047428.4)+118715+114502+33768+315300-5032600-95628)+2886700+1301300</f>
        <v>382873749.39999998</v>
      </c>
      <c r="H28" s="311">
        <f>((42397676)-3500000+648000-572000)-1400000-600000</f>
        <v>36973676</v>
      </c>
      <c r="I28" s="311"/>
      <c r="J28" s="453">
        <f t="shared" si="14"/>
        <v>68291483.039999992</v>
      </c>
      <c r="K28" s="311">
        <f>((22878252.04)-280000+1000000+100000+360000+1751862+68114-17500+3156560+120000-360000-3156560+1893940-228000+1500000)-59900+17530-750000+147988+845777-38500+38500-750000-1893940</f>
        <v>26344123.039999999</v>
      </c>
      <c r="L28" s="311">
        <f>(41102910)-24983+139930+21929-79100-6000-6900-5780-8000-20300+61117</f>
        <v>41174823</v>
      </c>
      <c r="M28" s="311">
        <f>(13732800)+139930</f>
        <v>13872730</v>
      </c>
      <c r="N28" s="311">
        <v>1030656.03</v>
      </c>
      <c r="O28" s="266">
        <f>(K28+844450+24983)-35779-61117</f>
        <v>27116660.039999999</v>
      </c>
      <c r="P28" s="453">
        <f t="shared" si="13"/>
        <v>634471725.43999994</v>
      </c>
      <c r="Q28" s="14"/>
      <c r="R28" s="136" t="b">
        <f>K28='d5'!I18+'d5'!I19+'d5'!I20+'d5'!I21+'d5'!I24+'d5'!I23+'d5'!I22</f>
        <v>1</v>
      </c>
      <c r="T28" s="108"/>
    </row>
    <row r="29" spans="1:20" ht="320.25" x14ac:dyDescent="0.2">
      <c r="A29" s="454" t="s">
        <v>298</v>
      </c>
      <c r="B29" s="454" t="s">
        <v>297</v>
      </c>
      <c r="C29" s="454" t="s">
        <v>299</v>
      </c>
      <c r="D29" s="454" t="s">
        <v>32</v>
      </c>
      <c r="E29" s="453">
        <f t="shared" si="15"/>
        <v>16414878</v>
      </c>
      <c r="F29" s="311">
        <f>(((11987275+2637201+297700+3970+635400+74400+12000+1090080+19380+107800+5400+5000)+8400+14040)+16474+15860+3402+20048-211200+200+20048)-348000</f>
        <v>16414878</v>
      </c>
      <c r="G29" s="311">
        <f>(11987275)+13503+13005+2785+16430+20500+16430</f>
        <v>12069928</v>
      </c>
      <c r="H29" s="311">
        <f>(1223374)-300000</f>
        <v>923374</v>
      </c>
      <c r="I29" s="311"/>
      <c r="J29" s="453">
        <f t="shared" si="14"/>
        <v>89000</v>
      </c>
      <c r="K29" s="311">
        <f>(9000)+30000</f>
        <v>39000</v>
      </c>
      <c r="L29" s="311">
        <v>50000</v>
      </c>
      <c r="M29" s="311"/>
      <c r="N29" s="311">
        <v>29628</v>
      </c>
      <c r="O29" s="266">
        <f>K29</f>
        <v>39000</v>
      </c>
      <c r="P29" s="453">
        <f t="shared" si="13"/>
        <v>16503878</v>
      </c>
      <c r="R29" s="136" t="b">
        <f>K29='d5'!I25</f>
        <v>1</v>
      </c>
    </row>
    <row r="30" spans="1:20" ht="183" x14ac:dyDescent="0.2">
      <c r="A30" s="454" t="s">
        <v>300</v>
      </c>
      <c r="B30" s="454" t="s">
        <v>281</v>
      </c>
      <c r="C30" s="454" t="s">
        <v>269</v>
      </c>
      <c r="D30" s="454" t="s">
        <v>33</v>
      </c>
      <c r="E30" s="453">
        <f t="shared" si="15"/>
        <v>29471313</v>
      </c>
      <c r="F30" s="311">
        <f>((19190813+4221979+572200+13650+0+820000+23640+304700+1254870+46020+589810+263715+3840+30500+200)+400078)+492898+500400+742000</f>
        <v>29471313</v>
      </c>
      <c r="G30" s="311">
        <f>(19190813)+404015+509100</f>
        <v>20103928</v>
      </c>
      <c r="H30" s="311">
        <f>((2186576)+742000)-6415-7467-10616</f>
        <v>2904078</v>
      </c>
      <c r="I30" s="311"/>
      <c r="J30" s="453">
        <f t="shared" si="14"/>
        <v>8951670</v>
      </c>
      <c r="K30" s="311">
        <f>((18000+2000000+300000)+300000+60000)+1500000+60000</f>
        <v>4238000</v>
      </c>
      <c r="L30" s="311">
        <f>(4579670)+35000+8000-13000</f>
        <v>4609670</v>
      </c>
      <c r="M30" s="311">
        <f>(1037200)+35000</f>
        <v>1072200</v>
      </c>
      <c r="N30" s="311">
        <v>366037.45</v>
      </c>
      <c r="O30" s="266">
        <f>(K30+134000)-30000</f>
        <v>4342000</v>
      </c>
      <c r="P30" s="453">
        <f t="shared" si="13"/>
        <v>38422983</v>
      </c>
      <c r="R30" s="136" t="b">
        <f>K30='d5'!I26+'d5'!I27</f>
        <v>1</v>
      </c>
    </row>
    <row r="31" spans="1:20" ht="137.25" x14ac:dyDescent="0.2">
      <c r="A31" s="454" t="s">
        <v>301</v>
      </c>
      <c r="B31" s="454" t="s">
        <v>302</v>
      </c>
      <c r="C31" s="454" t="s">
        <v>303</v>
      </c>
      <c r="D31" s="454" t="s">
        <v>304</v>
      </c>
      <c r="E31" s="453">
        <f t="shared" si="15"/>
        <v>94366927</v>
      </c>
      <c r="F31" s="311">
        <f>(((55361620+12179557+98200+14420+3078726+14900+65640+8051698+582633+3183200+1360000+15250000+502876)+427000)+726388-2319488-2000000-58266)-2362687+49210+50000+61300+50000</f>
        <v>94366927</v>
      </c>
      <c r="G31" s="311">
        <f>(55361620)+595400-1557388</f>
        <v>54399632</v>
      </c>
      <c r="H31" s="311">
        <f>((13186731)+427000-58266)-1102210-80600-112600-265027</f>
        <v>11995028</v>
      </c>
      <c r="I31" s="311"/>
      <c r="J31" s="453">
        <f>L31+O31</f>
        <v>17791308</v>
      </c>
      <c r="K31" s="311">
        <f>((216557)+58266)+38700+100000</f>
        <v>413523</v>
      </c>
      <c r="L31" s="311">
        <f>(15728160-15000)-14521.47-15200-46000+1649625</f>
        <v>17287063.530000001</v>
      </c>
      <c r="M31" s="311">
        <f>(4054000)+935200</f>
        <v>4989200</v>
      </c>
      <c r="N31" s="311">
        <f>(6022813)+36000+69000+13000+180300</f>
        <v>6321113</v>
      </c>
      <c r="O31" s="266">
        <f>(K31+15000)+29721.47+46000</f>
        <v>504244.47</v>
      </c>
      <c r="P31" s="453">
        <f t="shared" si="13"/>
        <v>112158235</v>
      </c>
      <c r="R31" s="136" t="b">
        <f>K31='d5'!I28+'d5'!I29</f>
        <v>1</v>
      </c>
    </row>
    <row r="32" spans="1:20" ht="91.5" x14ac:dyDescent="0.2">
      <c r="A32" s="454" t="s">
        <v>306</v>
      </c>
      <c r="B32" s="454" t="s">
        <v>307</v>
      </c>
      <c r="C32" s="454" t="s">
        <v>308</v>
      </c>
      <c r="D32" s="454" t="s">
        <v>305</v>
      </c>
      <c r="E32" s="453">
        <f t="shared" si="15"/>
        <v>4618170</v>
      </c>
      <c r="F32" s="311">
        <f>((3056197+672364+210900+430000+3120+40000+126900+4845+57140+400+2500)+168622)+51282-206100</f>
        <v>4618170</v>
      </c>
      <c r="G32" s="311">
        <f>(3056197)+42034-158800</f>
        <v>2939431</v>
      </c>
      <c r="H32" s="311">
        <v>192737</v>
      </c>
      <c r="I32" s="311"/>
      <c r="J32" s="453">
        <f t="shared" si="14"/>
        <v>73740</v>
      </c>
      <c r="K32" s="311"/>
      <c r="L32" s="311">
        <v>73740</v>
      </c>
      <c r="M32" s="311"/>
      <c r="N32" s="311"/>
      <c r="O32" s="266">
        <f t="shared" ref="O32:O38" si="16">K32</f>
        <v>0</v>
      </c>
      <c r="P32" s="453">
        <f t="shared" si="13"/>
        <v>4691910</v>
      </c>
      <c r="R32" s="136"/>
    </row>
    <row r="33" spans="1:18" s="118" customFormat="1" ht="91.5" x14ac:dyDescent="0.2">
      <c r="A33" s="449" t="s">
        <v>491</v>
      </c>
      <c r="B33" s="449" t="s">
        <v>492</v>
      </c>
      <c r="C33" s="449" t="s">
        <v>308</v>
      </c>
      <c r="D33" s="449" t="s">
        <v>490</v>
      </c>
      <c r="E33" s="453">
        <f t="shared" si="15"/>
        <v>15312740</v>
      </c>
      <c r="F33" s="311">
        <f>((11912850+2620827+577800+1200+362900+12480+440620+8475+262150+2705+4360+400+3840+1416600)-1905368)+121901-598000+67000</f>
        <v>15312740</v>
      </c>
      <c r="G33" s="311">
        <f>((11912850+1161200)-1421200)+99919-490000</f>
        <v>11262769</v>
      </c>
      <c r="H33" s="311">
        <f>(689114)+67000</f>
        <v>756114</v>
      </c>
      <c r="I33" s="451"/>
      <c r="J33" s="453">
        <f t="shared" si="14"/>
        <v>352640</v>
      </c>
      <c r="K33" s="311">
        <f>(9000)+15000</f>
        <v>24000</v>
      </c>
      <c r="L33" s="311">
        <v>328640</v>
      </c>
      <c r="M33" s="311">
        <v>199640</v>
      </c>
      <c r="N33" s="311">
        <v>3410</v>
      </c>
      <c r="O33" s="266">
        <f t="shared" si="16"/>
        <v>24000</v>
      </c>
      <c r="P33" s="453">
        <f t="shared" si="13"/>
        <v>15665380</v>
      </c>
      <c r="R33" s="136" t="b">
        <f>K33='d5'!I30</f>
        <v>1</v>
      </c>
    </row>
    <row r="34" spans="1:18" s="118" customFormat="1" ht="91.5" x14ac:dyDescent="0.2">
      <c r="A34" s="449" t="s">
        <v>523</v>
      </c>
      <c r="B34" s="449" t="s">
        <v>524</v>
      </c>
      <c r="C34" s="449" t="s">
        <v>308</v>
      </c>
      <c r="D34" s="454" t="s">
        <v>522</v>
      </c>
      <c r="E34" s="450">
        <f>F34</f>
        <v>150770</v>
      </c>
      <c r="F34" s="451">
        <f>(148960)+1810</f>
        <v>150770</v>
      </c>
      <c r="G34" s="451"/>
      <c r="H34" s="451"/>
      <c r="I34" s="451"/>
      <c r="J34" s="453">
        <f t="shared" si="14"/>
        <v>0</v>
      </c>
      <c r="K34" s="451"/>
      <c r="L34" s="451"/>
      <c r="M34" s="451"/>
      <c r="N34" s="451"/>
      <c r="O34" s="266">
        <f t="shared" si="16"/>
        <v>0</v>
      </c>
      <c r="P34" s="453">
        <f t="shared" si="13"/>
        <v>150770</v>
      </c>
      <c r="R34" s="136"/>
    </row>
    <row r="35" spans="1:18" s="118" customFormat="1" ht="91.5" x14ac:dyDescent="0.2">
      <c r="A35" s="449" t="s">
        <v>797</v>
      </c>
      <c r="B35" s="449" t="s">
        <v>798</v>
      </c>
      <c r="C35" s="449" t="s">
        <v>308</v>
      </c>
      <c r="D35" s="454" t="s">
        <v>799</v>
      </c>
      <c r="E35" s="450">
        <f>F35</f>
        <v>2061012</v>
      </c>
      <c r="F35" s="451">
        <f>(2036012)+25000</f>
        <v>2061012</v>
      </c>
      <c r="G35" s="451">
        <f>1161200+260000</f>
        <v>1421200</v>
      </c>
      <c r="H35" s="451">
        <v>30900</v>
      </c>
      <c r="I35" s="451"/>
      <c r="J35" s="453">
        <f t="shared" si="14"/>
        <v>200000</v>
      </c>
      <c r="K35" s="451">
        <v>200000</v>
      </c>
      <c r="L35" s="451"/>
      <c r="M35" s="451"/>
      <c r="N35" s="451"/>
      <c r="O35" s="266">
        <f t="shared" si="16"/>
        <v>200000</v>
      </c>
      <c r="P35" s="453">
        <f t="shared" si="13"/>
        <v>2261012</v>
      </c>
      <c r="R35" s="136"/>
    </row>
    <row r="36" spans="1:18" s="118" customFormat="1" ht="320.25" x14ac:dyDescent="0.2">
      <c r="A36" s="454" t="s">
        <v>801</v>
      </c>
      <c r="B36" s="454" t="s">
        <v>802</v>
      </c>
      <c r="C36" s="454" t="s">
        <v>273</v>
      </c>
      <c r="D36" s="454" t="s">
        <v>800</v>
      </c>
      <c r="E36" s="450">
        <f>F36</f>
        <v>1925000</v>
      </c>
      <c r="F36" s="451">
        <v>1925000</v>
      </c>
      <c r="G36" s="451"/>
      <c r="H36" s="451"/>
      <c r="I36" s="451"/>
      <c r="J36" s="453">
        <f>L36+O36</f>
        <v>0</v>
      </c>
      <c r="K36" s="451"/>
      <c r="L36" s="451"/>
      <c r="M36" s="451"/>
      <c r="N36" s="451"/>
      <c r="O36" s="266">
        <f>K36</f>
        <v>0</v>
      </c>
      <c r="P36" s="453">
        <f>E36+J36</f>
        <v>1925000</v>
      </c>
      <c r="R36" s="136"/>
    </row>
    <row r="37" spans="1:18" s="118" customFormat="1" ht="183" x14ac:dyDescent="0.2">
      <c r="A37" s="454" t="s">
        <v>975</v>
      </c>
      <c r="B37" s="454" t="s">
        <v>974</v>
      </c>
      <c r="C37" s="454" t="s">
        <v>285</v>
      </c>
      <c r="D37" s="454" t="s">
        <v>976</v>
      </c>
      <c r="E37" s="450">
        <f>F37</f>
        <v>0</v>
      </c>
      <c r="F37" s="451"/>
      <c r="G37" s="451"/>
      <c r="H37" s="451"/>
      <c r="I37" s="451"/>
      <c r="J37" s="453">
        <f>L37+O37</f>
        <v>1499056</v>
      </c>
      <c r="K37" s="451">
        <f>749056+750000</f>
        <v>1499056</v>
      </c>
      <c r="L37" s="451"/>
      <c r="M37" s="451"/>
      <c r="N37" s="451"/>
      <c r="O37" s="266">
        <f>K37</f>
        <v>1499056</v>
      </c>
      <c r="P37" s="453">
        <f>E37+J37</f>
        <v>1499056</v>
      </c>
      <c r="R37" s="136" t="b">
        <f>K37='d5'!I32</f>
        <v>1</v>
      </c>
    </row>
    <row r="38" spans="1:18" s="118" customFormat="1" ht="46.5" x14ac:dyDescent="0.2">
      <c r="A38" s="454" t="s">
        <v>310</v>
      </c>
      <c r="B38" s="454" t="s">
        <v>311</v>
      </c>
      <c r="C38" s="454" t="s">
        <v>312</v>
      </c>
      <c r="D38" s="454" t="s">
        <v>67</v>
      </c>
      <c r="E38" s="450">
        <f>F38</f>
        <v>0</v>
      </c>
      <c r="F38" s="451">
        <f>(2700000)-2700000</f>
        <v>0</v>
      </c>
      <c r="G38" s="451"/>
      <c r="H38" s="451"/>
      <c r="I38" s="451"/>
      <c r="J38" s="453">
        <f t="shared" ref="J38" si="17">L38+O38</f>
        <v>3640000</v>
      </c>
      <c r="K38" s="451">
        <f>(5000000)-848138-1751862+1440000+500000-700000</f>
        <v>3640000</v>
      </c>
      <c r="L38" s="451"/>
      <c r="M38" s="451"/>
      <c r="N38" s="451"/>
      <c r="O38" s="266">
        <f t="shared" si="16"/>
        <v>3640000</v>
      </c>
      <c r="P38" s="453">
        <f t="shared" si="13"/>
        <v>3640000</v>
      </c>
      <c r="R38" s="136" t="b">
        <f>K38='d5'!I33</f>
        <v>1</v>
      </c>
    </row>
    <row r="39" spans="1:18" ht="135" x14ac:dyDescent="0.2">
      <c r="A39" s="327" t="s">
        <v>234</v>
      </c>
      <c r="B39" s="327"/>
      <c r="C39" s="327"/>
      <c r="D39" s="328" t="s">
        <v>36</v>
      </c>
      <c r="E39" s="329">
        <f>E40</f>
        <v>365119496.38</v>
      </c>
      <c r="F39" s="329">
        <f t="shared" ref="F39:G39" si="18">F40</f>
        <v>365119496.38</v>
      </c>
      <c r="G39" s="329">
        <f t="shared" si="18"/>
        <v>3381100</v>
      </c>
      <c r="H39" s="329">
        <f>H40</f>
        <v>185867</v>
      </c>
      <c r="I39" s="329">
        <f t="shared" ref="I39" si="19">I40</f>
        <v>0</v>
      </c>
      <c r="J39" s="329">
        <f>J40</f>
        <v>36788378</v>
      </c>
      <c r="K39" s="329">
        <f>K40</f>
        <v>30192587</v>
      </c>
      <c r="L39" s="329">
        <f>L40</f>
        <v>5853391</v>
      </c>
      <c r="M39" s="329">
        <f t="shared" ref="M39" si="20">M40</f>
        <v>0</v>
      </c>
      <c r="N39" s="329">
        <f>N40</f>
        <v>0</v>
      </c>
      <c r="O39" s="329">
        <f>O40</f>
        <v>30934987</v>
      </c>
      <c r="P39" s="329">
        <f>P40</f>
        <v>401907874.38</v>
      </c>
    </row>
    <row r="40" spans="1:18" ht="135" x14ac:dyDescent="0.2">
      <c r="A40" s="324" t="s">
        <v>235</v>
      </c>
      <c r="B40" s="324"/>
      <c r="C40" s="324"/>
      <c r="D40" s="325" t="s">
        <v>59</v>
      </c>
      <c r="E40" s="326">
        <f>SUM(E41:E52)</f>
        <v>365119496.38</v>
      </c>
      <c r="F40" s="326">
        <f t="shared" ref="F40:H40" si="21">SUM(F41:F52)</f>
        <v>365119496.38</v>
      </c>
      <c r="G40" s="326">
        <f t="shared" si="21"/>
        <v>3381100</v>
      </c>
      <c r="H40" s="326">
        <f t="shared" si="21"/>
        <v>185867</v>
      </c>
      <c r="I40" s="326">
        <f>SUM(I41:I52)</f>
        <v>0</v>
      </c>
      <c r="J40" s="326">
        <f>L40+O40</f>
        <v>36788378</v>
      </c>
      <c r="K40" s="326">
        <f>SUM(K41:K52)</f>
        <v>30192587</v>
      </c>
      <c r="L40" s="326">
        <f t="shared" ref="L40:N40" si="22">SUM(L41:L52)</f>
        <v>5853391</v>
      </c>
      <c r="M40" s="326">
        <f t="shared" si="22"/>
        <v>0</v>
      </c>
      <c r="N40" s="326">
        <f t="shared" si="22"/>
        <v>0</v>
      </c>
      <c r="O40" s="326">
        <f>SUM(O41:O52)</f>
        <v>30934987</v>
      </c>
      <c r="P40" s="326">
        <f t="shared" ref="P40:P52" si="23">E40+J40</f>
        <v>401907874.38</v>
      </c>
      <c r="Q40" s="136" t="b">
        <f>P40=P42+P43+P44+P45+P46+P47+P48+P49+P50+P41+P51+P52</f>
        <v>1</v>
      </c>
      <c r="R40" s="136" t="b">
        <f>K40='d5'!I34</f>
        <v>1</v>
      </c>
    </row>
    <row r="41" spans="1:18" ht="228.75" x14ac:dyDescent="0.2">
      <c r="A41" s="454" t="s">
        <v>705</v>
      </c>
      <c r="B41" s="454" t="s">
        <v>335</v>
      </c>
      <c r="C41" s="454" t="s">
        <v>333</v>
      </c>
      <c r="D41" s="454" t="s">
        <v>334</v>
      </c>
      <c r="E41" s="453">
        <f>F41</f>
        <v>2257300</v>
      </c>
      <c r="F41" s="311">
        <f>(2501100)-243800</f>
        <v>2257300</v>
      </c>
      <c r="G41" s="311">
        <f>(1884600)-200800</f>
        <v>1683800</v>
      </c>
      <c r="H41" s="311">
        <v>101500</v>
      </c>
      <c r="I41" s="311"/>
      <c r="J41" s="453">
        <f t="shared" ref="J41:J52" si="24">L41+O41</f>
        <v>0</v>
      </c>
      <c r="K41" s="453"/>
      <c r="L41" s="453"/>
      <c r="M41" s="453"/>
      <c r="N41" s="453"/>
      <c r="O41" s="266">
        <f>K41</f>
        <v>0</v>
      </c>
      <c r="P41" s="453">
        <f t="shared" si="23"/>
        <v>2257300</v>
      </c>
      <c r="Q41" s="136"/>
      <c r="R41" s="136"/>
    </row>
    <row r="42" spans="1:18" ht="91.5" x14ac:dyDescent="0.2">
      <c r="A42" s="454" t="s">
        <v>313</v>
      </c>
      <c r="B42" s="454" t="s">
        <v>309</v>
      </c>
      <c r="C42" s="454" t="s">
        <v>314</v>
      </c>
      <c r="D42" s="454" t="s">
        <v>37</v>
      </c>
      <c r="E42" s="453">
        <f>F42</f>
        <v>201017642</v>
      </c>
      <c r="F42" s="311">
        <f>((((190671412+426500+500000)-3985900+13242930-25000+167700)+200)+50000-277700+77700+200000+1000000-1000000+169800)-150000-1200000+1200000-50000-652100+652100</f>
        <v>201017642</v>
      </c>
      <c r="G42" s="311"/>
      <c r="H42" s="311"/>
      <c r="I42" s="311"/>
      <c r="J42" s="453">
        <f t="shared" si="24"/>
        <v>21490734</v>
      </c>
      <c r="K42" s="311">
        <f>((12634714)+825600+352700+168400+1398400+160300+2700000+1108000+270000-37400)-226000-170000-50000-158000-225400+238139+38581</f>
        <v>19028034</v>
      </c>
      <c r="L42" s="311">
        <f>(4218000)-2055300</f>
        <v>2162700</v>
      </c>
      <c r="M42" s="311"/>
      <c r="N42" s="311"/>
      <c r="O42" s="266">
        <f>K42+300000</f>
        <v>19328034</v>
      </c>
      <c r="P42" s="453">
        <f t="shared" si="23"/>
        <v>222508376</v>
      </c>
      <c r="R42" s="136" t="b">
        <f>K42='d5'!I36+'d5'!I37+'d5'!I38</f>
        <v>1</v>
      </c>
    </row>
    <row r="43" spans="1:18" ht="137.25" x14ac:dyDescent="0.2">
      <c r="A43" s="454" t="s">
        <v>315</v>
      </c>
      <c r="B43" s="454" t="s">
        <v>316</v>
      </c>
      <c r="C43" s="454" t="s">
        <v>317</v>
      </c>
      <c r="D43" s="454" t="s">
        <v>318</v>
      </c>
      <c r="E43" s="453">
        <f t="shared" ref="E43:E52" si="25">F43</f>
        <v>59853500</v>
      </c>
      <c r="F43" s="311">
        <f>((59783500)+100000)-30000</f>
        <v>59853500</v>
      </c>
      <c r="G43" s="311"/>
      <c r="H43" s="311"/>
      <c r="I43" s="311"/>
      <c r="J43" s="453">
        <f t="shared" si="24"/>
        <v>472091</v>
      </c>
      <c r="K43" s="311">
        <v>126000</v>
      </c>
      <c r="L43" s="311">
        <f>(1038271)-692180</f>
        <v>346091</v>
      </c>
      <c r="M43" s="311"/>
      <c r="N43" s="311"/>
      <c r="O43" s="266">
        <f>K43</f>
        <v>126000</v>
      </c>
      <c r="P43" s="453">
        <f t="shared" si="23"/>
        <v>60325591</v>
      </c>
      <c r="R43" s="136" t="b">
        <f>K43='d5'!I39</f>
        <v>1</v>
      </c>
    </row>
    <row r="44" spans="1:18" ht="137.25" x14ac:dyDescent="0.2">
      <c r="A44" s="454" t="s">
        <v>319</v>
      </c>
      <c r="B44" s="454" t="s">
        <v>320</v>
      </c>
      <c r="C44" s="454" t="s">
        <v>321</v>
      </c>
      <c r="D44" s="454" t="s">
        <v>538</v>
      </c>
      <c r="E44" s="453">
        <f t="shared" si="25"/>
        <v>60725370</v>
      </c>
      <c r="F44" s="311">
        <f>(((57684870)+3985900-234000)+188600)-430000-470000</f>
        <v>60725370</v>
      </c>
      <c r="G44" s="311"/>
      <c r="H44" s="311"/>
      <c r="I44" s="311"/>
      <c r="J44" s="453">
        <f t="shared" si="24"/>
        <v>2706300</v>
      </c>
      <c r="K44" s="311">
        <f>939600-99000</f>
        <v>840600</v>
      </c>
      <c r="L44" s="311">
        <f>(5254900)-3731600</f>
        <v>1523300</v>
      </c>
      <c r="M44" s="311"/>
      <c r="N44" s="311"/>
      <c r="O44" s="266">
        <f>K44+342400</f>
        <v>1183000</v>
      </c>
      <c r="P44" s="453">
        <f t="shared" si="23"/>
        <v>63431670</v>
      </c>
      <c r="R44" s="136" t="b">
        <f>K44='d5'!I40</f>
        <v>1</v>
      </c>
    </row>
    <row r="45" spans="1:18" ht="91.5" x14ac:dyDescent="0.2">
      <c r="A45" s="454" t="s">
        <v>322</v>
      </c>
      <c r="B45" s="454" t="s">
        <v>323</v>
      </c>
      <c r="C45" s="454" t="s">
        <v>324</v>
      </c>
      <c r="D45" s="454" t="s">
        <v>325</v>
      </c>
      <c r="E45" s="453">
        <f t="shared" si="25"/>
        <v>9871950</v>
      </c>
      <c r="F45" s="311">
        <f>9871950-949000+949000</f>
        <v>9871950</v>
      </c>
      <c r="G45" s="311"/>
      <c r="H45" s="311"/>
      <c r="I45" s="311"/>
      <c r="J45" s="453">
        <f t="shared" si="24"/>
        <v>3499300</v>
      </c>
      <c r="K45" s="311">
        <f>1600000</f>
        <v>1600000</v>
      </c>
      <c r="L45" s="311">
        <f>(5397900)-3598600</f>
        <v>1799300</v>
      </c>
      <c r="M45" s="311"/>
      <c r="N45" s="311"/>
      <c r="O45" s="266">
        <f>K45+100000</f>
        <v>1700000</v>
      </c>
      <c r="P45" s="453">
        <f t="shared" si="23"/>
        <v>13371250</v>
      </c>
      <c r="R45" s="136" t="b">
        <f>K45='d5'!I41</f>
        <v>1</v>
      </c>
    </row>
    <row r="46" spans="1:18" ht="183" x14ac:dyDescent="0.2">
      <c r="A46" s="454" t="s">
        <v>326</v>
      </c>
      <c r="B46" s="449" t="s">
        <v>327</v>
      </c>
      <c r="C46" s="449" t="s">
        <v>539</v>
      </c>
      <c r="D46" s="454" t="s">
        <v>328</v>
      </c>
      <c r="E46" s="453">
        <f t="shared" si="25"/>
        <v>8952218</v>
      </c>
      <c r="F46" s="311">
        <f>((8891316)+60902)-280000+280000</f>
        <v>8952218</v>
      </c>
      <c r="G46" s="311"/>
      <c r="H46" s="311"/>
      <c r="I46" s="311"/>
      <c r="J46" s="453">
        <f t="shared" si="24"/>
        <v>0</v>
      </c>
      <c r="K46" s="311"/>
      <c r="L46" s="311"/>
      <c r="M46" s="311"/>
      <c r="N46" s="311"/>
      <c r="O46" s="266">
        <f t="shared" ref="O46:O52" si="26">K46</f>
        <v>0</v>
      </c>
      <c r="P46" s="453">
        <f t="shared" si="23"/>
        <v>8952218</v>
      </c>
      <c r="R46" s="136"/>
    </row>
    <row r="47" spans="1:18" ht="137.25" x14ac:dyDescent="0.2">
      <c r="A47" s="454" t="s">
        <v>577</v>
      </c>
      <c r="B47" s="454" t="s">
        <v>578</v>
      </c>
      <c r="C47" s="449" t="s">
        <v>329</v>
      </c>
      <c r="D47" s="269" t="s">
        <v>579</v>
      </c>
      <c r="E47" s="453">
        <f t="shared" si="25"/>
        <v>13244446.379999999</v>
      </c>
      <c r="F47" s="311">
        <f>((8972700)+4428046.38)-156300</f>
        <v>13244446.379999999</v>
      </c>
      <c r="G47" s="311"/>
      <c r="H47" s="311"/>
      <c r="I47" s="311"/>
      <c r="J47" s="453">
        <f t="shared" si="24"/>
        <v>0</v>
      </c>
      <c r="K47" s="311"/>
      <c r="L47" s="311"/>
      <c r="M47" s="311"/>
      <c r="N47" s="311"/>
      <c r="O47" s="266">
        <f t="shared" si="26"/>
        <v>0</v>
      </c>
      <c r="P47" s="453">
        <f t="shared" si="23"/>
        <v>13244446.379999999</v>
      </c>
      <c r="R47" s="136"/>
    </row>
    <row r="48" spans="1:18" ht="137.25" x14ac:dyDescent="0.2">
      <c r="A48" s="454" t="s">
        <v>582</v>
      </c>
      <c r="B48" s="454" t="s">
        <v>581</v>
      </c>
      <c r="C48" s="449" t="s">
        <v>329</v>
      </c>
      <c r="D48" s="269" t="s">
        <v>580</v>
      </c>
      <c r="E48" s="453">
        <f t="shared" si="25"/>
        <v>1966200</v>
      </c>
      <c r="F48" s="311">
        <f>(1734200)+232000</f>
        <v>1966200</v>
      </c>
      <c r="G48" s="311"/>
      <c r="H48" s="311"/>
      <c r="I48" s="311"/>
      <c r="J48" s="453">
        <f t="shared" si="24"/>
        <v>0</v>
      </c>
      <c r="K48" s="311"/>
      <c r="L48" s="311"/>
      <c r="M48" s="311"/>
      <c r="N48" s="311"/>
      <c r="O48" s="266">
        <f t="shared" si="26"/>
        <v>0</v>
      </c>
      <c r="P48" s="453">
        <f t="shared" si="23"/>
        <v>1966200</v>
      </c>
      <c r="R48" s="136"/>
    </row>
    <row r="49" spans="1:20" s="118" customFormat="1" ht="91.5" x14ac:dyDescent="0.2">
      <c r="A49" s="454" t="s">
        <v>495</v>
      </c>
      <c r="B49" s="454" t="s">
        <v>497</v>
      </c>
      <c r="C49" s="449" t="s">
        <v>329</v>
      </c>
      <c r="D49" s="269" t="s">
        <v>493</v>
      </c>
      <c r="E49" s="453">
        <f t="shared" si="25"/>
        <v>2314670</v>
      </c>
      <c r="F49" s="311">
        <f>(2416670)-102000</f>
        <v>2314670</v>
      </c>
      <c r="G49" s="311">
        <f>(1757300)-60000</f>
        <v>1697300</v>
      </c>
      <c r="H49" s="311">
        <f>((113600)+300)-30000+467</f>
        <v>84367</v>
      </c>
      <c r="I49" s="311"/>
      <c r="J49" s="453">
        <f t="shared" si="24"/>
        <v>129704</v>
      </c>
      <c r="K49" s="311">
        <f>167704-60000</f>
        <v>107704</v>
      </c>
      <c r="L49" s="311">
        <v>22000</v>
      </c>
      <c r="M49" s="311"/>
      <c r="N49" s="311"/>
      <c r="O49" s="266">
        <f t="shared" si="26"/>
        <v>107704</v>
      </c>
      <c r="P49" s="453">
        <f t="shared" si="23"/>
        <v>2444374</v>
      </c>
      <c r="R49" s="136" t="b">
        <f>K49='d5'!I42</f>
        <v>1</v>
      </c>
    </row>
    <row r="50" spans="1:20" s="118" customFormat="1" ht="91.5" x14ac:dyDescent="0.2">
      <c r="A50" s="454" t="s">
        <v>496</v>
      </c>
      <c r="B50" s="454" t="s">
        <v>498</v>
      </c>
      <c r="C50" s="449" t="s">
        <v>329</v>
      </c>
      <c r="D50" s="269" t="s">
        <v>494</v>
      </c>
      <c r="E50" s="453">
        <f t="shared" si="25"/>
        <v>4766200</v>
      </c>
      <c r="F50" s="311">
        <f>(((3360000)+949000+126200-949000+576000)+864000)-160000</f>
        <v>4766200</v>
      </c>
      <c r="G50" s="311"/>
      <c r="H50" s="311"/>
      <c r="I50" s="311"/>
      <c r="J50" s="453">
        <f t="shared" si="24"/>
        <v>0</v>
      </c>
      <c r="K50" s="311"/>
      <c r="L50" s="311"/>
      <c r="M50" s="311"/>
      <c r="N50" s="311"/>
      <c r="O50" s="266">
        <f t="shared" si="26"/>
        <v>0</v>
      </c>
      <c r="P50" s="453">
        <f t="shared" si="23"/>
        <v>4766200</v>
      </c>
      <c r="R50" s="136"/>
    </row>
    <row r="51" spans="1:20" s="118" customFormat="1" ht="91.5" x14ac:dyDescent="0.2">
      <c r="A51" s="454" t="s">
        <v>863</v>
      </c>
      <c r="B51" s="454" t="s">
        <v>287</v>
      </c>
      <c r="C51" s="454" t="s">
        <v>250</v>
      </c>
      <c r="D51" s="454" t="s">
        <v>57</v>
      </c>
      <c r="E51" s="453">
        <f t="shared" si="25"/>
        <v>0</v>
      </c>
      <c r="F51" s="311"/>
      <c r="G51" s="311"/>
      <c r="H51" s="311"/>
      <c r="I51" s="311"/>
      <c r="J51" s="453">
        <f t="shared" si="24"/>
        <v>6945492</v>
      </c>
      <c r="K51" s="311">
        <f>(((200000+600000+208200+167638+7587376+25000-208200-167638-1600000+130216)+390000+37400-500000-11300+11300+80000-390000+96000+192200+42000)-483400+75600+464000)-1800-4900-3500-4200+13500-135800+135800</f>
        <v>6945492</v>
      </c>
      <c r="L51" s="311"/>
      <c r="M51" s="311"/>
      <c r="N51" s="311"/>
      <c r="O51" s="266">
        <f t="shared" si="26"/>
        <v>6945492</v>
      </c>
      <c r="P51" s="453">
        <f t="shared" si="23"/>
        <v>6945492</v>
      </c>
      <c r="R51" s="136" t="b">
        <f>K51='d5'!I43+'d5'!I44+'d5'!I45</f>
        <v>1</v>
      </c>
    </row>
    <row r="52" spans="1:20" s="118" customFormat="1" ht="91.5" x14ac:dyDescent="0.2">
      <c r="A52" s="454" t="s">
        <v>865</v>
      </c>
      <c r="B52" s="454" t="s">
        <v>587</v>
      </c>
      <c r="C52" s="454" t="s">
        <v>71</v>
      </c>
      <c r="D52" s="454" t="s">
        <v>588</v>
      </c>
      <c r="E52" s="453">
        <f t="shared" si="25"/>
        <v>150000</v>
      </c>
      <c r="F52" s="311">
        <f>(100000)+50000</f>
        <v>150000</v>
      </c>
      <c r="G52" s="311"/>
      <c r="H52" s="311"/>
      <c r="I52" s="311"/>
      <c r="J52" s="453">
        <f t="shared" si="24"/>
        <v>1544757</v>
      </c>
      <c r="K52" s="311">
        <f>(935992+218765)+390000</f>
        <v>1544757</v>
      </c>
      <c r="L52" s="311"/>
      <c r="M52" s="311"/>
      <c r="N52" s="311"/>
      <c r="O52" s="266">
        <f t="shared" si="26"/>
        <v>1544757</v>
      </c>
      <c r="P52" s="453">
        <f t="shared" si="23"/>
        <v>1694757</v>
      </c>
      <c r="R52" s="136" t="b">
        <f>K52='d5'!I46</f>
        <v>1</v>
      </c>
    </row>
    <row r="53" spans="1:20" ht="180" x14ac:dyDescent="0.2">
      <c r="A53" s="327" t="s">
        <v>236</v>
      </c>
      <c r="B53" s="327"/>
      <c r="C53" s="327"/>
      <c r="D53" s="328" t="s">
        <v>60</v>
      </c>
      <c r="E53" s="329">
        <f>E54</f>
        <v>709323361</v>
      </c>
      <c r="F53" s="329">
        <f t="shared" ref="F53:G53" si="27">F54</f>
        <v>709323361</v>
      </c>
      <c r="G53" s="329">
        <f t="shared" si="27"/>
        <v>46535797</v>
      </c>
      <c r="H53" s="329">
        <f>H54</f>
        <v>1725237</v>
      </c>
      <c r="I53" s="329">
        <f t="shared" ref="I53" si="28">I54</f>
        <v>0</v>
      </c>
      <c r="J53" s="329">
        <f>J54</f>
        <v>26234163.48</v>
      </c>
      <c r="K53" s="329">
        <f>K54</f>
        <v>25693258.48</v>
      </c>
      <c r="L53" s="329">
        <f>L54</f>
        <v>540905</v>
      </c>
      <c r="M53" s="329">
        <f t="shared" ref="M53" si="29">M54</f>
        <v>60000</v>
      </c>
      <c r="N53" s="329">
        <f>N54</f>
        <v>4000</v>
      </c>
      <c r="O53" s="329">
        <f>O54</f>
        <v>25693258.48</v>
      </c>
      <c r="P53" s="329">
        <f>P54</f>
        <v>735557524.48000002</v>
      </c>
    </row>
    <row r="54" spans="1:20" ht="180" x14ac:dyDescent="0.2">
      <c r="A54" s="324" t="s">
        <v>237</v>
      </c>
      <c r="B54" s="324"/>
      <c r="C54" s="324"/>
      <c r="D54" s="325" t="s">
        <v>61</v>
      </c>
      <c r="E54" s="326">
        <f>SUM(E55:E110)</f>
        <v>709323361</v>
      </c>
      <c r="F54" s="326">
        <f>SUM(F55:F110)</f>
        <v>709323361</v>
      </c>
      <c r="G54" s="326">
        <f>SUM(G55:G110)</f>
        <v>46535797</v>
      </c>
      <c r="H54" s="326">
        <f>SUM(H55:H110)</f>
        <v>1725237</v>
      </c>
      <c r="I54" s="326">
        <f>SUM(I55:I110)</f>
        <v>0</v>
      </c>
      <c r="J54" s="326">
        <f t="shared" ref="J54:J101" si="30">L54+O54</f>
        <v>26234163.48</v>
      </c>
      <c r="K54" s="326">
        <f>SUM(K55:K110)</f>
        <v>25693258.48</v>
      </c>
      <c r="L54" s="326">
        <f>SUM(L55:L110)</f>
        <v>540905</v>
      </c>
      <c r="M54" s="326">
        <f>SUM(M55:M110)</f>
        <v>60000</v>
      </c>
      <c r="N54" s="326">
        <f>SUM(N55:N110)</f>
        <v>4000</v>
      </c>
      <c r="O54" s="326">
        <f>SUM(O55:O110)</f>
        <v>25693258.48</v>
      </c>
      <c r="P54" s="326">
        <f t="shared" ref="P54:P84" si="31">E54+J54</f>
        <v>735557524.48000002</v>
      </c>
      <c r="Q54" s="146" t="b">
        <f>P54=P56+P57+P58+P59+P60+P61+P62+P63+P64+P65+P66+P67+P68+P69+P70+P71+P73+P74+P75+P76+P77+P78+P82+P83+P84+P85+P86+P87+P88+P89+P101+P104+P105+P106+P90+P108+P55+P109+P79+P72+P81+P91+P98+P107+P94</f>
        <v>1</v>
      </c>
      <c r="R54" s="452" t="b">
        <f>K54='d5'!I48</f>
        <v>1</v>
      </c>
      <c r="T54" s="146"/>
    </row>
    <row r="55" spans="1:20" ht="228.75" x14ac:dyDescent="0.2">
      <c r="A55" s="454" t="s">
        <v>704</v>
      </c>
      <c r="B55" s="454" t="s">
        <v>335</v>
      </c>
      <c r="C55" s="454" t="s">
        <v>333</v>
      </c>
      <c r="D55" s="454" t="s">
        <v>334</v>
      </c>
      <c r="E55" s="450">
        <f t="shared" ref="E55:E59" si="32">F55</f>
        <v>37245000</v>
      </c>
      <c r="F55" s="311">
        <f>(((35993100)+100000+100000+65000)+15000+25000+25000-66600+1600-49000)+1035900</f>
        <v>37245000</v>
      </c>
      <c r="G55" s="311">
        <f>(26800000)+1052600</f>
        <v>27852600</v>
      </c>
      <c r="H55" s="311">
        <f>((1006600)-66600+1600-49000)-80000</f>
        <v>812600</v>
      </c>
      <c r="I55" s="311"/>
      <c r="J55" s="453">
        <f t="shared" si="30"/>
        <v>499000</v>
      </c>
      <c r="K55" s="311">
        <f>(450000)+49000</f>
        <v>499000</v>
      </c>
      <c r="L55" s="311"/>
      <c r="M55" s="311"/>
      <c r="N55" s="311"/>
      <c r="O55" s="266">
        <f>K55</f>
        <v>499000</v>
      </c>
      <c r="P55" s="450">
        <f t="shared" si="31"/>
        <v>37744000</v>
      </c>
      <c r="Q55" s="146"/>
      <c r="R55" s="452" t="b">
        <f>K55='d5'!I49</f>
        <v>1</v>
      </c>
      <c r="T55" s="146"/>
    </row>
    <row r="56" spans="1:20" ht="183" x14ac:dyDescent="0.2">
      <c r="A56" s="449" t="s">
        <v>350</v>
      </c>
      <c r="B56" s="449" t="s">
        <v>351</v>
      </c>
      <c r="C56" s="449" t="s">
        <v>296</v>
      </c>
      <c r="D56" s="455" t="s">
        <v>349</v>
      </c>
      <c r="E56" s="450">
        <f t="shared" si="32"/>
        <v>81315555.920000002</v>
      </c>
      <c r="F56" s="451">
        <f>((70418585.58)+4499970.34)+6200000+197000</f>
        <v>81315555.920000002</v>
      </c>
      <c r="G56" s="451"/>
      <c r="H56" s="451"/>
      <c r="I56" s="451"/>
      <c r="J56" s="453">
        <f t="shared" si="30"/>
        <v>0</v>
      </c>
      <c r="K56" s="451"/>
      <c r="L56" s="451"/>
      <c r="M56" s="451"/>
      <c r="N56" s="451"/>
      <c r="O56" s="266">
        <f t="shared" ref="O56:O101" si="33">K56</f>
        <v>0</v>
      </c>
      <c r="P56" s="450">
        <f t="shared" si="31"/>
        <v>81315555.920000002</v>
      </c>
      <c r="R56" s="452"/>
    </row>
    <row r="57" spans="1:20" ht="137.25" x14ac:dyDescent="0.2">
      <c r="A57" s="271" t="s">
        <v>369</v>
      </c>
      <c r="B57" s="449" t="s">
        <v>370</v>
      </c>
      <c r="C57" s="449" t="s">
        <v>79</v>
      </c>
      <c r="D57" s="454" t="s">
        <v>8</v>
      </c>
      <c r="E57" s="256">
        <f t="shared" si="32"/>
        <v>73735644.079999998</v>
      </c>
      <c r="F57" s="311">
        <v>73735644.079999998</v>
      </c>
      <c r="G57" s="311"/>
      <c r="H57" s="311"/>
      <c r="I57" s="311"/>
      <c r="J57" s="453">
        <f t="shared" si="30"/>
        <v>0</v>
      </c>
      <c r="K57" s="451"/>
      <c r="L57" s="311"/>
      <c r="M57" s="311"/>
      <c r="N57" s="311"/>
      <c r="O57" s="266">
        <f t="shared" si="33"/>
        <v>0</v>
      </c>
      <c r="P57" s="453">
        <f t="shared" si="31"/>
        <v>73735644.079999998</v>
      </c>
      <c r="R57" s="452"/>
    </row>
    <row r="58" spans="1:20" ht="228.75" x14ac:dyDescent="0.2">
      <c r="A58" s="454" t="s">
        <v>372</v>
      </c>
      <c r="B58" s="454" t="s">
        <v>373</v>
      </c>
      <c r="C58" s="454" t="s">
        <v>296</v>
      </c>
      <c r="D58" s="250" t="s">
        <v>371</v>
      </c>
      <c r="E58" s="450">
        <f t="shared" si="32"/>
        <v>3000</v>
      </c>
      <c r="F58" s="451">
        <v>3000</v>
      </c>
      <c r="G58" s="451"/>
      <c r="H58" s="451"/>
      <c r="I58" s="451"/>
      <c r="J58" s="453">
        <f t="shared" si="30"/>
        <v>0</v>
      </c>
      <c r="K58" s="451"/>
      <c r="L58" s="451"/>
      <c r="M58" s="451"/>
      <c r="N58" s="451"/>
      <c r="O58" s="266">
        <f t="shared" si="33"/>
        <v>0</v>
      </c>
      <c r="P58" s="450">
        <f t="shared" si="31"/>
        <v>3000</v>
      </c>
      <c r="R58" s="452"/>
    </row>
    <row r="59" spans="1:20" ht="228.75" x14ac:dyDescent="0.2">
      <c r="A59" s="454" t="s">
        <v>374</v>
      </c>
      <c r="B59" s="454" t="s">
        <v>375</v>
      </c>
      <c r="C59" s="250">
        <v>1060</v>
      </c>
      <c r="D59" s="272" t="s">
        <v>19</v>
      </c>
      <c r="E59" s="453">
        <f t="shared" si="32"/>
        <v>46300</v>
      </c>
      <c r="F59" s="311">
        <f>44700+1600</f>
        <v>46300</v>
      </c>
      <c r="G59" s="311"/>
      <c r="H59" s="311"/>
      <c r="I59" s="311"/>
      <c r="J59" s="453">
        <f t="shared" si="30"/>
        <v>0</v>
      </c>
      <c r="K59" s="311"/>
      <c r="L59" s="311"/>
      <c r="M59" s="311"/>
      <c r="N59" s="311"/>
      <c r="O59" s="266">
        <f t="shared" si="33"/>
        <v>0</v>
      </c>
      <c r="P59" s="453">
        <f t="shared" si="31"/>
        <v>46300</v>
      </c>
      <c r="R59" s="452"/>
    </row>
    <row r="60" spans="1:20" s="118" customFormat="1" ht="137.25" x14ac:dyDescent="0.2">
      <c r="A60" s="449" t="s">
        <v>400</v>
      </c>
      <c r="B60" s="449" t="s">
        <v>401</v>
      </c>
      <c r="C60" s="449" t="s">
        <v>296</v>
      </c>
      <c r="D60" s="455" t="s">
        <v>402</v>
      </c>
      <c r="E60" s="450">
        <f>F60</f>
        <v>426970</v>
      </c>
      <c r="F60" s="451">
        <f>((322970)+190000)-86000</f>
        <v>426970</v>
      </c>
      <c r="G60" s="451"/>
      <c r="H60" s="451"/>
      <c r="I60" s="451"/>
      <c r="J60" s="453">
        <f t="shared" si="30"/>
        <v>100000</v>
      </c>
      <c r="K60" s="451">
        <v>100000</v>
      </c>
      <c r="L60" s="451"/>
      <c r="M60" s="451"/>
      <c r="N60" s="451"/>
      <c r="O60" s="266">
        <f t="shared" si="33"/>
        <v>100000</v>
      </c>
      <c r="P60" s="450">
        <f t="shared" si="31"/>
        <v>526970</v>
      </c>
      <c r="R60" s="452" t="b">
        <f>K60='d5'!I50</f>
        <v>1</v>
      </c>
    </row>
    <row r="61" spans="1:20" s="118" customFormat="1" ht="137.25" x14ac:dyDescent="0.2">
      <c r="A61" s="454" t="s">
        <v>403</v>
      </c>
      <c r="B61" s="454" t="s">
        <v>404</v>
      </c>
      <c r="C61" s="454" t="s">
        <v>297</v>
      </c>
      <c r="D61" s="454" t="s">
        <v>16</v>
      </c>
      <c r="E61" s="453">
        <f t="shared" ref="E61:E109" si="34">F61</f>
        <v>1365000</v>
      </c>
      <c r="F61" s="311">
        <f>((1360000)+50000)-45000</f>
        <v>1365000</v>
      </c>
      <c r="G61" s="311"/>
      <c r="H61" s="311"/>
      <c r="I61" s="311"/>
      <c r="J61" s="453">
        <f t="shared" si="30"/>
        <v>0</v>
      </c>
      <c r="K61" s="311"/>
      <c r="L61" s="311"/>
      <c r="M61" s="311"/>
      <c r="N61" s="311"/>
      <c r="O61" s="266">
        <f t="shared" si="33"/>
        <v>0</v>
      </c>
      <c r="P61" s="453">
        <f t="shared" si="31"/>
        <v>1365000</v>
      </c>
      <c r="R61" s="452"/>
    </row>
    <row r="62" spans="1:20" s="118" customFormat="1" ht="183" x14ac:dyDescent="0.2">
      <c r="A62" s="454" t="s">
        <v>406</v>
      </c>
      <c r="B62" s="454" t="s">
        <v>407</v>
      </c>
      <c r="C62" s="454" t="s">
        <v>297</v>
      </c>
      <c r="D62" s="449" t="s">
        <v>17</v>
      </c>
      <c r="E62" s="453">
        <f t="shared" si="34"/>
        <v>8000000</v>
      </c>
      <c r="F62" s="311">
        <v>8000000</v>
      </c>
      <c r="G62" s="311"/>
      <c r="H62" s="311"/>
      <c r="I62" s="311"/>
      <c r="J62" s="453">
        <f t="shared" si="30"/>
        <v>0</v>
      </c>
      <c r="K62" s="311"/>
      <c r="L62" s="311"/>
      <c r="M62" s="311"/>
      <c r="N62" s="311"/>
      <c r="O62" s="266">
        <f t="shared" si="33"/>
        <v>0</v>
      </c>
      <c r="P62" s="453">
        <f t="shared" si="31"/>
        <v>8000000</v>
      </c>
      <c r="R62" s="452"/>
    </row>
    <row r="63" spans="1:20" s="118" customFormat="1" ht="183" x14ac:dyDescent="0.2">
      <c r="A63" s="449" t="s">
        <v>408</v>
      </c>
      <c r="B63" s="449" t="s">
        <v>405</v>
      </c>
      <c r="C63" s="449" t="s">
        <v>297</v>
      </c>
      <c r="D63" s="449" t="s">
        <v>18</v>
      </c>
      <c r="E63" s="453">
        <f t="shared" si="34"/>
        <v>600000</v>
      </c>
      <c r="F63" s="311">
        <v>600000</v>
      </c>
      <c r="G63" s="311"/>
      <c r="H63" s="311"/>
      <c r="I63" s="311"/>
      <c r="J63" s="453">
        <f t="shared" si="30"/>
        <v>0</v>
      </c>
      <c r="K63" s="311"/>
      <c r="L63" s="311"/>
      <c r="M63" s="311"/>
      <c r="N63" s="311"/>
      <c r="O63" s="266">
        <f t="shared" si="33"/>
        <v>0</v>
      </c>
      <c r="P63" s="453">
        <f t="shared" si="31"/>
        <v>600000</v>
      </c>
      <c r="R63" s="452"/>
    </row>
    <row r="64" spans="1:20" s="118" customFormat="1" ht="183" x14ac:dyDescent="0.2">
      <c r="A64" s="449" t="s">
        <v>409</v>
      </c>
      <c r="B64" s="449" t="s">
        <v>410</v>
      </c>
      <c r="C64" s="449" t="s">
        <v>297</v>
      </c>
      <c r="D64" s="449" t="s">
        <v>21</v>
      </c>
      <c r="E64" s="453">
        <f t="shared" si="34"/>
        <v>90138181</v>
      </c>
      <c r="F64" s="311">
        <f>((82000000)+7000000)+1938181-800000</f>
        <v>90138181</v>
      </c>
      <c r="G64" s="311"/>
      <c r="H64" s="311"/>
      <c r="I64" s="311"/>
      <c r="J64" s="453">
        <f t="shared" si="30"/>
        <v>0</v>
      </c>
      <c r="K64" s="311"/>
      <c r="L64" s="311"/>
      <c r="M64" s="311"/>
      <c r="N64" s="311"/>
      <c r="O64" s="266">
        <f t="shared" si="33"/>
        <v>0</v>
      </c>
      <c r="P64" s="453">
        <f t="shared" si="31"/>
        <v>90138181</v>
      </c>
      <c r="R64" s="452"/>
    </row>
    <row r="65" spans="1:20" s="118" customFormat="1" ht="91.5" x14ac:dyDescent="0.2">
      <c r="A65" s="454" t="s">
        <v>360</v>
      </c>
      <c r="B65" s="454" t="s">
        <v>352</v>
      </c>
      <c r="C65" s="454" t="s">
        <v>273</v>
      </c>
      <c r="D65" s="454" t="s">
        <v>10</v>
      </c>
      <c r="E65" s="453">
        <f t="shared" si="34"/>
        <v>2814000</v>
      </c>
      <c r="F65" s="311">
        <v>2814000</v>
      </c>
      <c r="G65" s="311"/>
      <c r="H65" s="311"/>
      <c r="I65" s="311"/>
      <c r="J65" s="453">
        <f t="shared" si="30"/>
        <v>0</v>
      </c>
      <c r="K65" s="311"/>
      <c r="L65" s="311"/>
      <c r="M65" s="311"/>
      <c r="N65" s="311"/>
      <c r="O65" s="266">
        <f t="shared" si="33"/>
        <v>0</v>
      </c>
      <c r="P65" s="453">
        <f t="shared" si="31"/>
        <v>2814000</v>
      </c>
      <c r="R65" s="452"/>
    </row>
    <row r="66" spans="1:20" s="118" customFormat="1" ht="91.5" x14ac:dyDescent="0.2">
      <c r="A66" s="454" t="s">
        <v>361</v>
      </c>
      <c r="B66" s="454" t="s">
        <v>353</v>
      </c>
      <c r="C66" s="454" t="s">
        <v>273</v>
      </c>
      <c r="D66" s="454" t="s">
        <v>359</v>
      </c>
      <c r="E66" s="453">
        <f>F66</f>
        <v>571520</v>
      </c>
      <c r="F66" s="311">
        <f>(371520)+200000</f>
        <v>571520</v>
      </c>
      <c r="G66" s="311"/>
      <c r="H66" s="311"/>
      <c r="I66" s="311"/>
      <c r="J66" s="453">
        <f t="shared" si="30"/>
        <v>0</v>
      </c>
      <c r="K66" s="311"/>
      <c r="L66" s="311"/>
      <c r="M66" s="311"/>
      <c r="N66" s="311"/>
      <c r="O66" s="266">
        <f t="shared" si="33"/>
        <v>0</v>
      </c>
      <c r="P66" s="453">
        <f t="shared" si="31"/>
        <v>571520</v>
      </c>
      <c r="R66" s="452"/>
    </row>
    <row r="67" spans="1:20" s="118" customFormat="1" ht="91.5" x14ac:dyDescent="0.2">
      <c r="A67" s="454" t="s">
        <v>362</v>
      </c>
      <c r="B67" s="454" t="s">
        <v>354</v>
      </c>
      <c r="C67" s="454" t="s">
        <v>273</v>
      </c>
      <c r="D67" s="454" t="s">
        <v>11</v>
      </c>
      <c r="E67" s="453">
        <f t="shared" si="34"/>
        <v>135281196</v>
      </c>
      <c r="F67" s="311">
        <f>(157736000-225000-21813780)-416024</f>
        <v>135281196</v>
      </c>
      <c r="G67" s="311"/>
      <c r="H67" s="311"/>
      <c r="I67" s="311"/>
      <c r="J67" s="453">
        <f t="shared" si="30"/>
        <v>0</v>
      </c>
      <c r="K67" s="311"/>
      <c r="L67" s="311"/>
      <c r="M67" s="311"/>
      <c r="N67" s="311"/>
      <c r="O67" s="266">
        <f t="shared" si="33"/>
        <v>0</v>
      </c>
      <c r="P67" s="453">
        <f t="shared" si="31"/>
        <v>135281196</v>
      </c>
      <c r="R67" s="452"/>
    </row>
    <row r="68" spans="1:20" s="118" customFormat="1" ht="137.25" x14ac:dyDescent="0.2">
      <c r="A68" s="454" t="s">
        <v>363</v>
      </c>
      <c r="B68" s="454" t="s">
        <v>355</v>
      </c>
      <c r="C68" s="454" t="s">
        <v>273</v>
      </c>
      <c r="D68" s="454" t="s">
        <v>12</v>
      </c>
      <c r="E68" s="453">
        <f t="shared" si="34"/>
        <v>4266000</v>
      </c>
      <c r="F68" s="311">
        <v>4266000</v>
      </c>
      <c r="G68" s="311"/>
      <c r="H68" s="311"/>
      <c r="I68" s="311"/>
      <c r="J68" s="453">
        <f t="shared" si="30"/>
        <v>0</v>
      </c>
      <c r="K68" s="311"/>
      <c r="L68" s="311"/>
      <c r="M68" s="311"/>
      <c r="N68" s="311"/>
      <c r="O68" s="266">
        <f t="shared" si="33"/>
        <v>0</v>
      </c>
      <c r="P68" s="453">
        <f t="shared" si="31"/>
        <v>4266000</v>
      </c>
      <c r="R68" s="452"/>
    </row>
    <row r="69" spans="1:20" s="118" customFormat="1" ht="91.5" x14ac:dyDescent="0.2">
      <c r="A69" s="454" t="s">
        <v>364</v>
      </c>
      <c r="B69" s="454" t="s">
        <v>356</v>
      </c>
      <c r="C69" s="454" t="s">
        <v>273</v>
      </c>
      <c r="D69" s="454" t="s">
        <v>13</v>
      </c>
      <c r="E69" s="453">
        <f t="shared" si="34"/>
        <v>27062400</v>
      </c>
      <c r="F69" s="311">
        <v>27062400</v>
      </c>
      <c r="G69" s="311"/>
      <c r="H69" s="311"/>
      <c r="I69" s="311"/>
      <c r="J69" s="453">
        <f t="shared" si="30"/>
        <v>0</v>
      </c>
      <c r="K69" s="311"/>
      <c r="L69" s="311"/>
      <c r="M69" s="311"/>
      <c r="N69" s="311"/>
      <c r="O69" s="266">
        <f t="shared" si="33"/>
        <v>0</v>
      </c>
      <c r="P69" s="453">
        <f t="shared" si="31"/>
        <v>27062400</v>
      </c>
      <c r="R69" s="452"/>
    </row>
    <row r="70" spans="1:20" s="118" customFormat="1" ht="91.5" x14ac:dyDescent="0.2">
      <c r="A70" s="454" t="s">
        <v>365</v>
      </c>
      <c r="B70" s="454" t="s">
        <v>357</v>
      </c>
      <c r="C70" s="454" t="s">
        <v>273</v>
      </c>
      <c r="D70" s="454" t="s">
        <v>14</v>
      </c>
      <c r="E70" s="453">
        <f t="shared" si="34"/>
        <v>2700000</v>
      </c>
      <c r="F70" s="311">
        <v>2700000</v>
      </c>
      <c r="G70" s="311"/>
      <c r="H70" s="311"/>
      <c r="I70" s="311"/>
      <c r="J70" s="453">
        <f t="shared" si="30"/>
        <v>0</v>
      </c>
      <c r="K70" s="311"/>
      <c r="L70" s="311"/>
      <c r="M70" s="311"/>
      <c r="N70" s="311"/>
      <c r="O70" s="266">
        <f t="shared" si="33"/>
        <v>0</v>
      </c>
      <c r="P70" s="453">
        <f t="shared" si="31"/>
        <v>2700000</v>
      </c>
      <c r="R70" s="452"/>
    </row>
    <row r="71" spans="1:20" s="118" customFormat="1" ht="137.25" x14ac:dyDescent="0.2">
      <c r="A71" s="454" t="s">
        <v>366</v>
      </c>
      <c r="B71" s="454" t="s">
        <v>358</v>
      </c>
      <c r="C71" s="454" t="s">
        <v>273</v>
      </c>
      <c r="D71" s="454" t="s">
        <v>15</v>
      </c>
      <c r="E71" s="453">
        <f t="shared" si="34"/>
        <v>39337958</v>
      </c>
      <c r="F71" s="311">
        <v>39337958</v>
      </c>
      <c r="G71" s="311"/>
      <c r="H71" s="311"/>
      <c r="I71" s="311"/>
      <c r="J71" s="453">
        <f t="shared" si="30"/>
        <v>0</v>
      </c>
      <c r="K71" s="311"/>
      <c r="L71" s="311"/>
      <c r="M71" s="311"/>
      <c r="N71" s="311"/>
      <c r="O71" s="266">
        <f t="shared" si="33"/>
        <v>0</v>
      </c>
      <c r="P71" s="453">
        <f t="shared" si="31"/>
        <v>39337958</v>
      </c>
      <c r="R71" s="452"/>
    </row>
    <row r="72" spans="1:20" s="118" customFormat="1" ht="137.25" x14ac:dyDescent="0.2">
      <c r="A72" s="454" t="s">
        <v>883</v>
      </c>
      <c r="B72" s="454" t="s">
        <v>885</v>
      </c>
      <c r="C72" s="454" t="s">
        <v>273</v>
      </c>
      <c r="D72" s="454" t="s">
        <v>884</v>
      </c>
      <c r="E72" s="453">
        <f t="shared" si="34"/>
        <v>963000</v>
      </c>
      <c r="F72" s="311">
        <f>(572760)+390240</f>
        <v>963000</v>
      </c>
      <c r="G72" s="311"/>
      <c r="H72" s="311"/>
      <c r="I72" s="311"/>
      <c r="J72" s="453">
        <f t="shared" si="30"/>
        <v>0</v>
      </c>
      <c r="K72" s="311"/>
      <c r="L72" s="311"/>
      <c r="M72" s="311"/>
      <c r="N72" s="311"/>
      <c r="O72" s="266">
        <f t="shared" si="33"/>
        <v>0</v>
      </c>
      <c r="P72" s="453">
        <f t="shared" si="31"/>
        <v>963000</v>
      </c>
      <c r="R72" s="452"/>
    </row>
    <row r="73" spans="1:20" ht="137.25" x14ac:dyDescent="0.2">
      <c r="A73" s="454" t="s">
        <v>376</v>
      </c>
      <c r="B73" s="454" t="s">
        <v>367</v>
      </c>
      <c r="C73" s="454" t="s">
        <v>297</v>
      </c>
      <c r="D73" s="454" t="s">
        <v>9</v>
      </c>
      <c r="E73" s="453">
        <f t="shared" si="34"/>
        <v>179080</v>
      </c>
      <c r="F73" s="311">
        <v>179080</v>
      </c>
      <c r="G73" s="311"/>
      <c r="H73" s="311"/>
      <c r="I73" s="311"/>
      <c r="J73" s="453">
        <f t="shared" si="30"/>
        <v>0</v>
      </c>
      <c r="K73" s="453"/>
      <c r="L73" s="311"/>
      <c r="M73" s="311"/>
      <c r="N73" s="311"/>
      <c r="O73" s="266">
        <f t="shared" si="33"/>
        <v>0</v>
      </c>
      <c r="P73" s="453">
        <f t="shared" si="31"/>
        <v>179080</v>
      </c>
      <c r="R73" s="452"/>
    </row>
    <row r="74" spans="1:20" s="118" customFormat="1" ht="137.25" x14ac:dyDescent="0.2">
      <c r="A74" s="454" t="s">
        <v>543</v>
      </c>
      <c r="B74" s="454" t="s">
        <v>544</v>
      </c>
      <c r="C74" s="454" t="s">
        <v>289</v>
      </c>
      <c r="D74" s="454" t="s">
        <v>542</v>
      </c>
      <c r="E74" s="453">
        <f t="shared" si="34"/>
        <v>78472603.400000006</v>
      </c>
      <c r="F74" s="311">
        <v>78472603.400000006</v>
      </c>
      <c r="G74" s="311"/>
      <c r="H74" s="311"/>
      <c r="I74" s="311"/>
      <c r="J74" s="453">
        <f t="shared" si="30"/>
        <v>0</v>
      </c>
      <c r="K74" s="311"/>
      <c r="L74" s="311"/>
      <c r="M74" s="311"/>
      <c r="N74" s="311"/>
      <c r="O74" s="266">
        <f t="shared" si="33"/>
        <v>0</v>
      </c>
      <c r="P74" s="453">
        <f t="shared" si="31"/>
        <v>78472603.400000006</v>
      </c>
      <c r="R74" s="452"/>
    </row>
    <row r="75" spans="1:20" s="118" customFormat="1" ht="228.75" x14ac:dyDescent="0.2">
      <c r="A75" s="454" t="s">
        <v>600</v>
      </c>
      <c r="B75" s="454" t="s">
        <v>601</v>
      </c>
      <c r="C75" s="454" t="s">
        <v>289</v>
      </c>
      <c r="D75" s="454" t="s">
        <v>602</v>
      </c>
      <c r="E75" s="453">
        <f t="shared" si="34"/>
        <v>25694626.600000001</v>
      </c>
      <c r="F75" s="311">
        <v>25694626.600000001</v>
      </c>
      <c r="G75" s="311"/>
      <c r="H75" s="311"/>
      <c r="I75" s="311"/>
      <c r="J75" s="453">
        <f t="shared" si="30"/>
        <v>0</v>
      </c>
      <c r="K75" s="311"/>
      <c r="L75" s="311"/>
      <c r="M75" s="311"/>
      <c r="N75" s="311"/>
      <c r="O75" s="266">
        <f t="shared" si="33"/>
        <v>0</v>
      </c>
      <c r="P75" s="453">
        <f t="shared" si="31"/>
        <v>25694626.600000001</v>
      </c>
      <c r="R75" s="452"/>
    </row>
    <row r="76" spans="1:20" s="118" customFormat="1" ht="183" x14ac:dyDescent="0.2">
      <c r="A76" s="454" t="s">
        <v>540</v>
      </c>
      <c r="B76" s="454" t="s">
        <v>541</v>
      </c>
      <c r="C76" s="454" t="s">
        <v>289</v>
      </c>
      <c r="D76" s="454" t="s">
        <v>499</v>
      </c>
      <c r="E76" s="453">
        <f t="shared" si="34"/>
        <v>13918200</v>
      </c>
      <c r="F76" s="311">
        <f>(14110200)-192000</f>
        <v>13918200</v>
      </c>
      <c r="G76" s="311"/>
      <c r="H76" s="311"/>
      <c r="I76" s="311"/>
      <c r="J76" s="453">
        <f t="shared" si="30"/>
        <v>0</v>
      </c>
      <c r="K76" s="311"/>
      <c r="L76" s="311"/>
      <c r="M76" s="311"/>
      <c r="N76" s="311"/>
      <c r="O76" s="266">
        <f t="shared" si="33"/>
        <v>0</v>
      </c>
      <c r="P76" s="453">
        <f t="shared" si="31"/>
        <v>13918200</v>
      </c>
      <c r="R76" s="452"/>
    </row>
    <row r="77" spans="1:20" s="118" customFormat="1" ht="228.75" x14ac:dyDescent="0.2">
      <c r="A77" s="454" t="s">
        <v>547</v>
      </c>
      <c r="B77" s="454" t="s">
        <v>548</v>
      </c>
      <c r="C77" s="454" t="s">
        <v>273</v>
      </c>
      <c r="D77" s="454" t="s">
        <v>549</v>
      </c>
      <c r="E77" s="453">
        <f t="shared" si="34"/>
        <v>1616024</v>
      </c>
      <c r="F77" s="311">
        <f>(1200000)+416024</f>
        <v>1616024</v>
      </c>
      <c r="G77" s="311"/>
      <c r="H77" s="311"/>
      <c r="I77" s="311"/>
      <c r="J77" s="453">
        <f t="shared" si="30"/>
        <v>0</v>
      </c>
      <c r="K77" s="311"/>
      <c r="L77" s="311"/>
      <c r="M77" s="311"/>
      <c r="N77" s="311"/>
      <c r="O77" s="266">
        <f t="shared" si="33"/>
        <v>0</v>
      </c>
      <c r="P77" s="453">
        <f t="shared" si="31"/>
        <v>1616024</v>
      </c>
      <c r="R77" s="452"/>
    </row>
    <row r="78" spans="1:20" s="118" customFormat="1" ht="320.25" x14ac:dyDescent="0.2">
      <c r="A78" s="454" t="s">
        <v>545</v>
      </c>
      <c r="B78" s="454" t="s">
        <v>546</v>
      </c>
      <c r="C78" s="454" t="s">
        <v>289</v>
      </c>
      <c r="D78" s="454" t="s">
        <v>550</v>
      </c>
      <c r="E78" s="453">
        <f t="shared" si="34"/>
        <v>289523.23</v>
      </c>
      <c r="F78" s="311">
        <f>(264192)+25331.23</f>
        <v>289523.23</v>
      </c>
      <c r="G78" s="311"/>
      <c r="H78" s="311"/>
      <c r="I78" s="311"/>
      <c r="J78" s="453">
        <f t="shared" si="30"/>
        <v>0</v>
      </c>
      <c r="K78" s="311"/>
      <c r="L78" s="311"/>
      <c r="M78" s="311"/>
      <c r="N78" s="311"/>
      <c r="O78" s="266">
        <f t="shared" si="33"/>
        <v>0</v>
      </c>
      <c r="P78" s="453">
        <f t="shared" si="31"/>
        <v>289523.23</v>
      </c>
      <c r="R78" s="452"/>
    </row>
    <row r="79" spans="1:20" s="118" customFormat="1" ht="364.7" customHeight="1" x14ac:dyDescent="0.65">
      <c r="A79" s="476" t="s">
        <v>870</v>
      </c>
      <c r="B79" s="476" t="s">
        <v>871</v>
      </c>
      <c r="C79" s="476" t="s">
        <v>273</v>
      </c>
      <c r="D79" s="273" t="s">
        <v>872</v>
      </c>
      <c r="E79" s="488">
        <f t="shared" si="34"/>
        <v>249988</v>
      </c>
      <c r="F79" s="491">
        <v>249988</v>
      </c>
      <c r="G79" s="491"/>
      <c r="H79" s="491"/>
      <c r="I79" s="491"/>
      <c r="J79" s="488">
        <f t="shared" si="30"/>
        <v>0</v>
      </c>
      <c r="K79" s="491"/>
      <c r="L79" s="491"/>
      <c r="M79" s="491"/>
      <c r="N79" s="491"/>
      <c r="O79" s="491">
        <f t="shared" si="33"/>
        <v>0</v>
      </c>
      <c r="P79" s="488">
        <f t="shared" si="31"/>
        <v>249988</v>
      </c>
      <c r="Q79" s="240">
        <f>E79</f>
        <v>249988</v>
      </c>
      <c r="R79" s="240">
        <f>J79</f>
        <v>0</v>
      </c>
      <c r="T79" s="240">
        <f>K79</f>
        <v>0</v>
      </c>
    </row>
    <row r="80" spans="1:20" s="118" customFormat="1" ht="334.5" customHeight="1" x14ac:dyDescent="0.2">
      <c r="A80" s="477"/>
      <c r="B80" s="477"/>
      <c r="C80" s="477"/>
      <c r="D80" s="274" t="s">
        <v>873</v>
      </c>
      <c r="E80" s="477"/>
      <c r="F80" s="477"/>
      <c r="G80" s="477"/>
      <c r="H80" s="477"/>
      <c r="I80" s="477"/>
      <c r="J80" s="498"/>
      <c r="K80" s="477"/>
      <c r="L80" s="477"/>
      <c r="M80" s="477"/>
      <c r="N80" s="477"/>
      <c r="O80" s="477"/>
      <c r="P80" s="498"/>
      <c r="R80" s="452"/>
    </row>
    <row r="81" spans="1:18" s="118" customFormat="1" ht="91.5" x14ac:dyDescent="0.2">
      <c r="A81" s="454" t="s">
        <v>904</v>
      </c>
      <c r="B81" s="454" t="s">
        <v>905</v>
      </c>
      <c r="C81" s="454" t="s">
        <v>273</v>
      </c>
      <c r="D81" s="454" t="s">
        <v>906</v>
      </c>
      <c r="E81" s="453">
        <f t="shared" ref="E81" si="35">F81</f>
        <v>20792460.77</v>
      </c>
      <c r="F81" s="311">
        <f>(21208032)-415571.23</f>
        <v>20792460.77</v>
      </c>
      <c r="G81" s="311"/>
      <c r="H81" s="311"/>
      <c r="I81" s="311"/>
      <c r="J81" s="453">
        <f t="shared" ref="J81" si="36">L81+O81</f>
        <v>0</v>
      </c>
      <c r="K81" s="453"/>
      <c r="L81" s="311"/>
      <c r="M81" s="311"/>
      <c r="N81" s="311"/>
      <c r="O81" s="266">
        <f t="shared" ref="O81" si="37">K81</f>
        <v>0</v>
      </c>
      <c r="P81" s="453">
        <f t="shared" ref="P81" si="38">E81+J81</f>
        <v>20792460.77</v>
      </c>
      <c r="R81" s="452"/>
    </row>
    <row r="82" spans="1:18" ht="163.5" customHeight="1" x14ac:dyDescent="0.2">
      <c r="A82" s="454" t="s">
        <v>377</v>
      </c>
      <c r="B82" s="454" t="s">
        <v>368</v>
      </c>
      <c r="C82" s="454" t="s">
        <v>296</v>
      </c>
      <c r="D82" s="454" t="s">
        <v>500</v>
      </c>
      <c r="E82" s="453">
        <f t="shared" si="34"/>
        <v>117846</v>
      </c>
      <c r="F82" s="311">
        <f>((117846)+34434)-34434</f>
        <v>117846</v>
      </c>
      <c r="G82" s="311"/>
      <c r="H82" s="311"/>
      <c r="I82" s="311"/>
      <c r="J82" s="453">
        <f t="shared" si="30"/>
        <v>0</v>
      </c>
      <c r="K82" s="453"/>
      <c r="L82" s="311"/>
      <c r="M82" s="311"/>
      <c r="N82" s="311"/>
      <c r="O82" s="266">
        <f t="shared" si="33"/>
        <v>0</v>
      </c>
      <c r="P82" s="453">
        <f t="shared" si="31"/>
        <v>117846</v>
      </c>
      <c r="R82" s="452"/>
    </row>
    <row r="83" spans="1:18" ht="301.7" customHeight="1" x14ac:dyDescent="0.2">
      <c r="A83" s="454" t="s">
        <v>398</v>
      </c>
      <c r="B83" s="454" t="s">
        <v>396</v>
      </c>
      <c r="C83" s="454" t="s">
        <v>290</v>
      </c>
      <c r="D83" s="454" t="s">
        <v>35</v>
      </c>
      <c r="E83" s="453">
        <f t="shared" si="34"/>
        <v>17952884</v>
      </c>
      <c r="F83" s="311">
        <f>((17332984)+652700)-32800</f>
        <v>17952884</v>
      </c>
      <c r="G83" s="311">
        <f>((11859350)+389900)+36000</f>
        <v>12285250</v>
      </c>
      <c r="H83" s="311">
        <f>(246362)-15000-10000</f>
        <v>221362</v>
      </c>
      <c r="I83" s="311"/>
      <c r="J83" s="453">
        <f t="shared" si="30"/>
        <v>311900</v>
      </c>
      <c r="K83" s="311">
        <f>((175000)+30000)-82860+80360</f>
        <v>202500</v>
      </c>
      <c r="L83" s="311">
        <v>109400</v>
      </c>
      <c r="M83" s="311">
        <v>60000</v>
      </c>
      <c r="N83" s="311">
        <v>4000</v>
      </c>
      <c r="O83" s="266">
        <f t="shared" si="33"/>
        <v>202500</v>
      </c>
      <c r="P83" s="453">
        <f t="shared" si="31"/>
        <v>18264784</v>
      </c>
      <c r="R83" s="452" t="b">
        <f>K83='d5'!I51</f>
        <v>1</v>
      </c>
    </row>
    <row r="84" spans="1:18" ht="137.25" x14ac:dyDescent="0.2">
      <c r="A84" s="454" t="s">
        <v>399</v>
      </c>
      <c r="B84" s="454" t="s">
        <v>397</v>
      </c>
      <c r="C84" s="454" t="s">
        <v>289</v>
      </c>
      <c r="D84" s="454" t="s">
        <v>501</v>
      </c>
      <c r="E84" s="453">
        <f t="shared" si="34"/>
        <v>5255264</v>
      </c>
      <c r="F84" s="311">
        <f>((5162423)+194900)-102059</f>
        <v>5255264</v>
      </c>
      <c r="G84" s="311">
        <f>((3617760)+20400)+11400-80000</f>
        <v>3569560</v>
      </c>
      <c r="H84" s="311">
        <f>(286789)+30941</f>
        <v>317730</v>
      </c>
      <c r="I84" s="311"/>
      <c r="J84" s="453">
        <f t="shared" si="30"/>
        <v>274250</v>
      </c>
      <c r="K84" s="311">
        <v>274250</v>
      </c>
      <c r="L84" s="311"/>
      <c r="M84" s="311"/>
      <c r="N84" s="311"/>
      <c r="O84" s="266">
        <f t="shared" si="33"/>
        <v>274250</v>
      </c>
      <c r="P84" s="453">
        <f t="shared" si="31"/>
        <v>5529514</v>
      </c>
      <c r="R84" s="452" t="b">
        <f>K84='d5'!I52</f>
        <v>1</v>
      </c>
    </row>
    <row r="85" spans="1:18" ht="366" x14ac:dyDescent="0.2">
      <c r="A85" s="454" t="s">
        <v>394</v>
      </c>
      <c r="B85" s="454" t="s">
        <v>395</v>
      </c>
      <c r="C85" s="454" t="s">
        <v>289</v>
      </c>
      <c r="D85" s="454" t="s">
        <v>502</v>
      </c>
      <c r="E85" s="453">
        <f t="shared" si="34"/>
        <v>1274600</v>
      </c>
      <c r="F85" s="311">
        <f>(1554600)-280000</f>
        <v>1274600</v>
      </c>
      <c r="G85" s="311"/>
      <c r="H85" s="311"/>
      <c r="I85" s="311"/>
      <c r="J85" s="453">
        <f t="shared" si="30"/>
        <v>0</v>
      </c>
      <c r="K85" s="453"/>
      <c r="L85" s="311"/>
      <c r="M85" s="311"/>
      <c r="N85" s="311"/>
      <c r="O85" s="266">
        <f t="shared" si="33"/>
        <v>0</v>
      </c>
      <c r="P85" s="453">
        <f>+J85+E85</f>
        <v>1274600</v>
      </c>
      <c r="R85" s="452"/>
    </row>
    <row r="86" spans="1:18" ht="228.75" x14ac:dyDescent="0.2">
      <c r="A86" s="454" t="s">
        <v>503</v>
      </c>
      <c r="B86" s="454" t="s">
        <v>504</v>
      </c>
      <c r="C86" s="454" t="s">
        <v>289</v>
      </c>
      <c r="D86" s="454" t="s">
        <v>551</v>
      </c>
      <c r="E86" s="453">
        <f t="shared" si="34"/>
        <v>135534</v>
      </c>
      <c r="F86" s="311">
        <v>135534</v>
      </c>
      <c r="G86" s="311"/>
      <c r="H86" s="311"/>
      <c r="I86" s="311"/>
      <c r="J86" s="453">
        <f t="shared" si="30"/>
        <v>0</v>
      </c>
      <c r="K86" s="311"/>
      <c r="L86" s="311"/>
      <c r="M86" s="311"/>
      <c r="N86" s="311"/>
      <c r="O86" s="266">
        <f t="shared" si="33"/>
        <v>0</v>
      </c>
      <c r="P86" s="453">
        <f>+J86+E86</f>
        <v>135534</v>
      </c>
      <c r="R86" s="452"/>
    </row>
    <row r="87" spans="1:18" ht="112.7" customHeight="1" x14ac:dyDescent="0.2">
      <c r="A87" s="454" t="s">
        <v>505</v>
      </c>
      <c r="B87" s="454" t="s">
        <v>506</v>
      </c>
      <c r="C87" s="454" t="s">
        <v>289</v>
      </c>
      <c r="D87" s="454" t="s">
        <v>552</v>
      </c>
      <c r="E87" s="453">
        <f t="shared" si="34"/>
        <v>168</v>
      </c>
      <c r="F87" s="311">
        <v>168</v>
      </c>
      <c r="G87" s="311"/>
      <c r="H87" s="311"/>
      <c r="I87" s="311"/>
      <c r="J87" s="453">
        <f t="shared" si="30"/>
        <v>0</v>
      </c>
      <c r="K87" s="311"/>
      <c r="L87" s="311"/>
      <c r="M87" s="311"/>
      <c r="N87" s="311"/>
      <c r="O87" s="266">
        <f t="shared" si="33"/>
        <v>0</v>
      </c>
      <c r="P87" s="453">
        <f>+J87+E87</f>
        <v>168</v>
      </c>
      <c r="R87" s="452"/>
    </row>
    <row r="88" spans="1:18" ht="320.25" x14ac:dyDescent="0.2">
      <c r="A88" s="454" t="s">
        <v>555</v>
      </c>
      <c r="B88" s="454" t="s">
        <v>554</v>
      </c>
      <c r="C88" s="454" t="s">
        <v>79</v>
      </c>
      <c r="D88" s="454" t="s">
        <v>553</v>
      </c>
      <c r="E88" s="453">
        <f t="shared" si="34"/>
        <v>1808500</v>
      </c>
      <c r="F88" s="311">
        <v>1808500</v>
      </c>
      <c r="G88" s="311"/>
      <c r="H88" s="311"/>
      <c r="I88" s="311"/>
      <c r="J88" s="453">
        <f t="shared" si="30"/>
        <v>0</v>
      </c>
      <c r="K88" s="453"/>
      <c r="L88" s="311"/>
      <c r="M88" s="311"/>
      <c r="N88" s="311"/>
      <c r="O88" s="266">
        <f t="shared" si="33"/>
        <v>0</v>
      </c>
      <c r="P88" s="453">
        <f>E88+J88</f>
        <v>1808500</v>
      </c>
      <c r="R88" s="452"/>
    </row>
    <row r="89" spans="1:18" ht="228.75" x14ac:dyDescent="0.2">
      <c r="A89" s="454" t="s">
        <v>507</v>
      </c>
      <c r="B89" s="454" t="s">
        <v>508</v>
      </c>
      <c r="C89" s="454" t="s">
        <v>296</v>
      </c>
      <c r="D89" s="454" t="s">
        <v>556</v>
      </c>
      <c r="E89" s="453">
        <f t="shared" si="34"/>
        <v>625000</v>
      </c>
      <c r="F89" s="311">
        <f>(550000)+75000</f>
        <v>625000</v>
      </c>
      <c r="G89" s="311"/>
      <c r="H89" s="311"/>
      <c r="I89" s="311"/>
      <c r="J89" s="453">
        <f t="shared" si="30"/>
        <v>0</v>
      </c>
      <c r="K89" s="311"/>
      <c r="L89" s="311"/>
      <c r="M89" s="311"/>
      <c r="N89" s="311"/>
      <c r="O89" s="266">
        <f t="shared" si="33"/>
        <v>0</v>
      </c>
      <c r="P89" s="453">
        <f>E89+J89</f>
        <v>625000</v>
      </c>
      <c r="R89" s="452"/>
    </row>
    <row r="90" spans="1:18" ht="91.5" x14ac:dyDescent="0.2">
      <c r="A90" s="454" t="s">
        <v>766</v>
      </c>
      <c r="B90" s="454" t="s">
        <v>616</v>
      </c>
      <c r="C90" s="454" t="s">
        <v>617</v>
      </c>
      <c r="D90" s="454" t="s">
        <v>615</v>
      </c>
      <c r="E90" s="453">
        <f t="shared" si="34"/>
        <v>311000</v>
      </c>
      <c r="F90" s="311">
        <f>(250000)+61000</f>
        <v>311000</v>
      </c>
      <c r="G90" s="311">
        <f>(205000)+50000</f>
        <v>255000</v>
      </c>
      <c r="H90" s="311"/>
      <c r="I90" s="311"/>
      <c r="J90" s="453">
        <f t="shared" si="30"/>
        <v>0</v>
      </c>
      <c r="K90" s="311"/>
      <c r="L90" s="311"/>
      <c r="M90" s="311"/>
      <c r="N90" s="311"/>
      <c r="O90" s="266">
        <f t="shared" si="33"/>
        <v>0</v>
      </c>
      <c r="P90" s="453">
        <f>E90+J90</f>
        <v>311000</v>
      </c>
      <c r="R90" s="452"/>
    </row>
    <row r="91" spans="1:18" ht="409.5" x14ac:dyDescent="0.2">
      <c r="A91" s="476" t="s">
        <v>925</v>
      </c>
      <c r="B91" s="476" t="s">
        <v>926</v>
      </c>
      <c r="C91" s="476" t="s">
        <v>79</v>
      </c>
      <c r="D91" s="276" t="s">
        <v>927</v>
      </c>
      <c r="E91" s="488">
        <f t="shared" si="34"/>
        <v>0</v>
      </c>
      <c r="F91" s="491"/>
      <c r="G91" s="491"/>
      <c r="H91" s="491"/>
      <c r="I91" s="491"/>
      <c r="J91" s="488">
        <f t="shared" si="30"/>
        <v>5371203.1200000001</v>
      </c>
      <c r="K91" s="491">
        <v>5371203.1200000001</v>
      </c>
      <c r="L91" s="491"/>
      <c r="M91" s="491"/>
      <c r="N91" s="491"/>
      <c r="O91" s="493">
        <f t="shared" si="33"/>
        <v>5371203.1200000001</v>
      </c>
      <c r="P91" s="488">
        <f>E91+J91</f>
        <v>5371203.1200000001</v>
      </c>
      <c r="R91" s="499" t="b">
        <f>'d5'!I53=K91</f>
        <v>1</v>
      </c>
    </row>
    <row r="92" spans="1:18" ht="409.5" x14ac:dyDescent="0.2">
      <c r="A92" s="492"/>
      <c r="B92" s="492"/>
      <c r="C92" s="492"/>
      <c r="D92" s="276" t="s">
        <v>928</v>
      </c>
      <c r="E92" s="492"/>
      <c r="F92" s="492"/>
      <c r="G92" s="492"/>
      <c r="H92" s="492"/>
      <c r="I92" s="492"/>
      <c r="J92" s="492"/>
      <c r="K92" s="492"/>
      <c r="L92" s="492"/>
      <c r="M92" s="492"/>
      <c r="N92" s="492"/>
      <c r="O92" s="494"/>
      <c r="P92" s="492"/>
      <c r="R92" s="500"/>
    </row>
    <row r="93" spans="1:18" ht="409.5" x14ac:dyDescent="0.2">
      <c r="A93" s="477"/>
      <c r="B93" s="477"/>
      <c r="C93" s="477"/>
      <c r="D93" s="277" t="s">
        <v>929</v>
      </c>
      <c r="E93" s="477"/>
      <c r="F93" s="477"/>
      <c r="G93" s="477"/>
      <c r="H93" s="477"/>
      <c r="I93" s="477"/>
      <c r="J93" s="477"/>
      <c r="K93" s="477"/>
      <c r="L93" s="477"/>
      <c r="M93" s="477"/>
      <c r="N93" s="477"/>
      <c r="O93" s="495"/>
      <c r="P93" s="477"/>
      <c r="R93" s="500"/>
    </row>
    <row r="94" spans="1:18" ht="409.5" x14ac:dyDescent="0.2">
      <c r="A94" s="507">
        <v>813222</v>
      </c>
      <c r="B94" s="507">
        <v>3222</v>
      </c>
      <c r="C94" s="507">
        <v>1060</v>
      </c>
      <c r="D94" s="339" t="s">
        <v>978</v>
      </c>
      <c r="E94" s="501">
        <f t="shared" ref="E94" si="39">F94</f>
        <v>0</v>
      </c>
      <c r="F94" s="491"/>
      <c r="G94" s="491"/>
      <c r="H94" s="491"/>
      <c r="I94" s="491"/>
      <c r="J94" s="488">
        <f t="shared" ref="J94" si="40">L94+O94</f>
        <v>854690</v>
      </c>
      <c r="K94" s="491">
        <v>854690</v>
      </c>
      <c r="L94" s="491"/>
      <c r="M94" s="491"/>
      <c r="N94" s="491"/>
      <c r="O94" s="493">
        <f t="shared" ref="O94" si="41">K94</f>
        <v>854690</v>
      </c>
      <c r="P94" s="488">
        <f>E94+J94</f>
        <v>854690</v>
      </c>
      <c r="R94" s="499" t="b">
        <f>K94='d5'!I56</f>
        <v>1</v>
      </c>
    </row>
    <row r="95" spans="1:18" ht="409.5" x14ac:dyDescent="0.2">
      <c r="A95" s="504"/>
      <c r="B95" s="504"/>
      <c r="C95" s="504"/>
      <c r="D95" s="277" t="s">
        <v>979</v>
      </c>
      <c r="E95" s="503"/>
      <c r="F95" s="492"/>
      <c r="G95" s="492"/>
      <c r="H95" s="492"/>
      <c r="I95" s="492"/>
      <c r="J95" s="492"/>
      <c r="K95" s="492"/>
      <c r="L95" s="492"/>
      <c r="M95" s="492"/>
      <c r="N95" s="492"/>
      <c r="O95" s="494"/>
      <c r="P95" s="492"/>
      <c r="R95" s="500"/>
    </row>
    <row r="96" spans="1:18" ht="409.5" x14ac:dyDescent="0.2">
      <c r="A96" s="504"/>
      <c r="B96" s="504"/>
      <c r="C96" s="504"/>
      <c r="D96" s="277" t="s">
        <v>980</v>
      </c>
      <c r="E96" s="503"/>
      <c r="F96" s="492"/>
      <c r="G96" s="492"/>
      <c r="H96" s="492"/>
      <c r="I96" s="492"/>
      <c r="J96" s="492"/>
      <c r="K96" s="492"/>
      <c r="L96" s="492"/>
      <c r="M96" s="492"/>
      <c r="N96" s="492"/>
      <c r="O96" s="494"/>
      <c r="P96" s="492"/>
      <c r="R96" s="500"/>
    </row>
    <row r="97" spans="1:18" ht="183" x14ac:dyDescent="0.2">
      <c r="A97" s="505"/>
      <c r="B97" s="505"/>
      <c r="C97" s="505"/>
      <c r="D97" s="277" t="s">
        <v>981</v>
      </c>
      <c r="E97" s="503"/>
      <c r="F97" s="477"/>
      <c r="G97" s="477"/>
      <c r="H97" s="477"/>
      <c r="I97" s="477"/>
      <c r="J97" s="477"/>
      <c r="K97" s="477"/>
      <c r="L97" s="477"/>
      <c r="M97" s="477"/>
      <c r="N97" s="477"/>
      <c r="O97" s="495"/>
      <c r="P97" s="477"/>
      <c r="R97" s="500"/>
    </row>
    <row r="98" spans="1:18" ht="409.5" x14ac:dyDescent="0.2">
      <c r="A98" s="476" t="s">
        <v>930</v>
      </c>
      <c r="B98" s="476" t="s">
        <v>931</v>
      </c>
      <c r="C98" s="476" t="s">
        <v>79</v>
      </c>
      <c r="D98" s="278" t="s">
        <v>932</v>
      </c>
      <c r="E98" s="488">
        <f t="shared" ref="E98" si="42">F98</f>
        <v>0</v>
      </c>
      <c r="F98" s="491"/>
      <c r="G98" s="491"/>
      <c r="H98" s="491"/>
      <c r="I98" s="491"/>
      <c r="J98" s="488">
        <f t="shared" ref="J98" si="43">L98+O98</f>
        <v>7952988.3600000003</v>
      </c>
      <c r="K98" s="491">
        <v>7952988.3600000003</v>
      </c>
      <c r="L98" s="491"/>
      <c r="M98" s="491"/>
      <c r="N98" s="491"/>
      <c r="O98" s="493">
        <f t="shared" ref="O98" si="44">K98</f>
        <v>7952988.3600000003</v>
      </c>
      <c r="P98" s="488">
        <f>E98+J98</f>
        <v>7952988.3600000003</v>
      </c>
      <c r="R98" s="499" t="b">
        <f>K98='d5'!I60</f>
        <v>1</v>
      </c>
    </row>
    <row r="99" spans="1:18" ht="409.5" x14ac:dyDescent="0.2">
      <c r="A99" s="504"/>
      <c r="B99" s="504"/>
      <c r="C99" s="504"/>
      <c r="D99" s="277" t="s">
        <v>933</v>
      </c>
      <c r="E99" s="492"/>
      <c r="F99" s="492"/>
      <c r="G99" s="492"/>
      <c r="H99" s="492"/>
      <c r="I99" s="492"/>
      <c r="J99" s="492"/>
      <c r="K99" s="492"/>
      <c r="L99" s="492"/>
      <c r="M99" s="492"/>
      <c r="N99" s="492"/>
      <c r="O99" s="494"/>
      <c r="P99" s="492"/>
      <c r="R99" s="500"/>
    </row>
    <row r="100" spans="1:18" ht="137.25" x14ac:dyDescent="0.2">
      <c r="A100" s="505"/>
      <c r="B100" s="505"/>
      <c r="C100" s="505"/>
      <c r="D100" s="277" t="s">
        <v>934</v>
      </c>
      <c r="E100" s="477"/>
      <c r="F100" s="477"/>
      <c r="G100" s="477"/>
      <c r="H100" s="477"/>
      <c r="I100" s="477"/>
      <c r="J100" s="477"/>
      <c r="K100" s="477"/>
      <c r="L100" s="477"/>
      <c r="M100" s="477"/>
      <c r="N100" s="477"/>
      <c r="O100" s="495"/>
      <c r="P100" s="477"/>
      <c r="R100" s="500"/>
    </row>
    <row r="101" spans="1:18" ht="409.5" x14ac:dyDescent="0.2">
      <c r="A101" s="476" t="s">
        <v>393</v>
      </c>
      <c r="B101" s="476" t="s">
        <v>280</v>
      </c>
      <c r="C101" s="506" t="s">
        <v>273</v>
      </c>
      <c r="D101" s="275" t="s">
        <v>509</v>
      </c>
      <c r="E101" s="501">
        <f>F101</f>
        <v>919538</v>
      </c>
      <c r="F101" s="491">
        <f>(1030700)-111162</f>
        <v>919538</v>
      </c>
      <c r="G101" s="491"/>
      <c r="H101" s="491"/>
      <c r="I101" s="491"/>
      <c r="J101" s="488">
        <f t="shared" si="30"/>
        <v>0</v>
      </c>
      <c r="K101" s="488"/>
      <c r="L101" s="491"/>
      <c r="M101" s="491"/>
      <c r="N101" s="491"/>
      <c r="O101" s="493">
        <f t="shared" si="33"/>
        <v>0</v>
      </c>
      <c r="P101" s="488">
        <f>E101+J101</f>
        <v>919538</v>
      </c>
      <c r="R101" s="452"/>
    </row>
    <row r="102" spans="1:18" ht="327.75" customHeight="1" x14ac:dyDescent="0.2">
      <c r="A102" s="492"/>
      <c r="B102" s="492"/>
      <c r="C102" s="503"/>
      <c r="D102" s="277" t="s">
        <v>778</v>
      </c>
      <c r="E102" s="502"/>
      <c r="F102" s="492"/>
      <c r="G102" s="492"/>
      <c r="H102" s="492"/>
      <c r="I102" s="492"/>
      <c r="J102" s="492"/>
      <c r="K102" s="492"/>
      <c r="L102" s="492"/>
      <c r="M102" s="492"/>
      <c r="N102" s="492"/>
      <c r="O102" s="494"/>
      <c r="P102" s="489"/>
      <c r="R102" s="452"/>
    </row>
    <row r="103" spans="1:18" ht="91.5" x14ac:dyDescent="0.2">
      <c r="A103" s="477"/>
      <c r="B103" s="477"/>
      <c r="C103" s="503"/>
      <c r="D103" s="274" t="s">
        <v>779</v>
      </c>
      <c r="E103" s="503"/>
      <c r="F103" s="477"/>
      <c r="G103" s="477"/>
      <c r="H103" s="477"/>
      <c r="I103" s="477"/>
      <c r="J103" s="477"/>
      <c r="K103" s="477"/>
      <c r="L103" s="477"/>
      <c r="M103" s="477"/>
      <c r="N103" s="477"/>
      <c r="O103" s="495"/>
      <c r="P103" s="477"/>
      <c r="R103" s="452"/>
    </row>
    <row r="104" spans="1:18" ht="183" x14ac:dyDescent="0.2">
      <c r="A104" s="454" t="s">
        <v>510</v>
      </c>
      <c r="B104" s="454" t="s">
        <v>512</v>
      </c>
      <c r="C104" s="454" t="s">
        <v>281</v>
      </c>
      <c r="D104" s="269" t="s">
        <v>514</v>
      </c>
      <c r="E104" s="453">
        <f t="shared" si="34"/>
        <v>5224975</v>
      </c>
      <c r="F104" s="311">
        <f>((4578467)+671008)-7500+7500-19000-13500-17000+25000</f>
        <v>5224975</v>
      </c>
      <c r="G104" s="249">
        <f>((2541439)+13948)+7500+10500</f>
        <v>2573387</v>
      </c>
      <c r="H104" s="249">
        <f>(379045)-13500-17000+25000</f>
        <v>373545</v>
      </c>
      <c r="I104" s="311"/>
      <c r="J104" s="453">
        <f t="shared" ref="J104:J109" si="45">L104+O104</f>
        <v>4297373</v>
      </c>
      <c r="K104" s="311">
        <f>(((1380000+650000)+874330)+300000+95000-300000+689000)-20000+20000+609043</f>
        <v>4297373</v>
      </c>
      <c r="L104" s="311"/>
      <c r="M104" s="311"/>
      <c r="N104" s="311"/>
      <c r="O104" s="266">
        <f t="shared" ref="O104:O109" si="46">K104</f>
        <v>4297373</v>
      </c>
      <c r="P104" s="453">
        <f t="shared" ref="P104:P109" si="47">E104+J104</f>
        <v>9522348</v>
      </c>
      <c r="R104" s="452" t="b">
        <f>K104='d5'!I63+'d5'!I64</f>
        <v>1</v>
      </c>
    </row>
    <row r="105" spans="1:18" ht="137.25" x14ac:dyDescent="0.2">
      <c r="A105" s="454" t="s">
        <v>511</v>
      </c>
      <c r="B105" s="454" t="s">
        <v>513</v>
      </c>
      <c r="C105" s="454" t="s">
        <v>281</v>
      </c>
      <c r="D105" s="269" t="s">
        <v>515</v>
      </c>
      <c r="E105" s="453">
        <f t="shared" si="34"/>
        <v>28613821</v>
      </c>
      <c r="F105" s="311">
        <f>(((23486540)+199000)+561000+24836+46500+673400+7500+420100+52500-1000000+3000000+134495)+1007950</f>
        <v>28613821</v>
      </c>
      <c r="G105" s="311"/>
      <c r="H105" s="311"/>
      <c r="I105" s="311"/>
      <c r="J105" s="453">
        <f t="shared" si="45"/>
        <v>419000</v>
      </c>
      <c r="K105" s="311">
        <f>(220000)+199000</f>
        <v>419000</v>
      </c>
      <c r="L105" s="311"/>
      <c r="M105" s="311"/>
      <c r="N105" s="311"/>
      <c r="O105" s="266">
        <f t="shared" si="46"/>
        <v>419000</v>
      </c>
      <c r="P105" s="453">
        <f t="shared" si="47"/>
        <v>29032821</v>
      </c>
      <c r="R105" s="452" t="b">
        <f>K105='d5'!I66+'d5'!I65</f>
        <v>1</v>
      </c>
    </row>
    <row r="106" spans="1:18" ht="137.25" x14ac:dyDescent="0.2">
      <c r="A106" s="454" t="s">
        <v>593</v>
      </c>
      <c r="B106" s="454" t="s">
        <v>591</v>
      </c>
      <c r="C106" s="454" t="s">
        <v>529</v>
      </c>
      <c r="D106" s="269" t="s">
        <v>592</v>
      </c>
      <c r="E106" s="453">
        <f t="shared" si="34"/>
        <v>0</v>
      </c>
      <c r="F106" s="311"/>
      <c r="G106" s="311"/>
      <c r="H106" s="311"/>
      <c r="I106" s="311"/>
      <c r="J106" s="453">
        <f t="shared" si="45"/>
        <v>3191964</v>
      </c>
      <c r="K106" s="311">
        <f>((3500000)-258036)-50000</f>
        <v>3191964</v>
      </c>
      <c r="L106" s="311"/>
      <c r="M106" s="311"/>
      <c r="N106" s="311"/>
      <c r="O106" s="266">
        <f t="shared" si="46"/>
        <v>3191964</v>
      </c>
      <c r="P106" s="453">
        <f t="shared" si="47"/>
        <v>3191964</v>
      </c>
      <c r="R106" s="452" t="b">
        <f>K106='d5'!I67</f>
        <v>1</v>
      </c>
    </row>
    <row r="107" spans="1:18" ht="366" x14ac:dyDescent="0.2">
      <c r="A107" s="454" t="s">
        <v>960</v>
      </c>
      <c r="B107" s="454" t="s">
        <v>961</v>
      </c>
      <c r="C107" s="454" t="s">
        <v>529</v>
      </c>
      <c r="D107" s="269" t="s">
        <v>959</v>
      </c>
      <c r="E107" s="453">
        <f t="shared" si="34"/>
        <v>0</v>
      </c>
      <c r="F107" s="311"/>
      <c r="G107" s="311"/>
      <c r="H107" s="311"/>
      <c r="I107" s="311"/>
      <c r="J107" s="453">
        <f t="shared" si="45"/>
        <v>530290</v>
      </c>
      <c r="K107" s="311">
        <v>530290</v>
      </c>
      <c r="L107" s="311"/>
      <c r="M107" s="311"/>
      <c r="N107" s="311"/>
      <c r="O107" s="266">
        <f t="shared" si="46"/>
        <v>530290</v>
      </c>
      <c r="P107" s="453">
        <f t="shared" si="47"/>
        <v>530290</v>
      </c>
      <c r="R107" s="452" t="b">
        <f>K107='d5'!I68</f>
        <v>1</v>
      </c>
    </row>
    <row r="108" spans="1:18" ht="91.5" x14ac:dyDescent="0.2">
      <c r="A108" s="454" t="s">
        <v>686</v>
      </c>
      <c r="B108" s="454" t="s">
        <v>687</v>
      </c>
      <c r="C108" s="454" t="s">
        <v>444</v>
      </c>
      <c r="D108" s="269" t="s">
        <v>688</v>
      </c>
      <c r="E108" s="453">
        <f t="shared" si="34"/>
        <v>0</v>
      </c>
      <c r="F108" s="311"/>
      <c r="G108" s="311"/>
      <c r="H108" s="311"/>
      <c r="I108" s="311"/>
      <c r="J108" s="453">
        <f t="shared" si="45"/>
        <v>2000000</v>
      </c>
      <c r="K108" s="311">
        <f>(1000000)+1000000</f>
        <v>2000000</v>
      </c>
      <c r="L108" s="311"/>
      <c r="M108" s="311"/>
      <c r="N108" s="311"/>
      <c r="O108" s="266">
        <f t="shared" si="46"/>
        <v>2000000</v>
      </c>
      <c r="P108" s="453">
        <f t="shared" si="47"/>
        <v>2000000</v>
      </c>
      <c r="R108" s="452" t="b">
        <f>K108='d5'!I69</f>
        <v>1</v>
      </c>
    </row>
    <row r="109" spans="1:18" ht="409.5" x14ac:dyDescent="0.2">
      <c r="A109" s="476" t="s">
        <v>723</v>
      </c>
      <c r="B109" s="476" t="s">
        <v>525</v>
      </c>
      <c r="C109" s="476" t="s">
        <v>250</v>
      </c>
      <c r="D109" s="267" t="s">
        <v>536</v>
      </c>
      <c r="E109" s="486">
        <f t="shared" si="34"/>
        <v>0</v>
      </c>
      <c r="F109" s="482"/>
      <c r="G109" s="482"/>
      <c r="H109" s="482"/>
      <c r="I109" s="482"/>
      <c r="J109" s="488">
        <f t="shared" si="45"/>
        <v>431505</v>
      </c>
      <c r="K109" s="482"/>
      <c r="L109" s="482">
        <f>(566000)-134495</f>
        <v>431505</v>
      </c>
      <c r="M109" s="482"/>
      <c r="N109" s="482"/>
      <c r="O109" s="493">
        <f t="shared" si="46"/>
        <v>0</v>
      </c>
      <c r="P109" s="486">
        <f t="shared" si="47"/>
        <v>431505</v>
      </c>
      <c r="Q109" s="115">
        <f>P109</f>
        <v>431505</v>
      </c>
      <c r="R109" s="452"/>
    </row>
    <row r="110" spans="1:18" ht="137.25" x14ac:dyDescent="0.2">
      <c r="A110" s="477"/>
      <c r="B110" s="477"/>
      <c r="C110" s="477"/>
      <c r="D110" s="268" t="s">
        <v>537</v>
      </c>
      <c r="E110" s="487"/>
      <c r="F110" s="490"/>
      <c r="G110" s="490"/>
      <c r="H110" s="490"/>
      <c r="I110" s="490"/>
      <c r="J110" s="477"/>
      <c r="K110" s="477"/>
      <c r="L110" s="490"/>
      <c r="M110" s="490"/>
      <c r="N110" s="490"/>
      <c r="O110" s="495"/>
      <c r="P110" s="487"/>
      <c r="R110" s="452"/>
    </row>
    <row r="111" spans="1:18" ht="135" x14ac:dyDescent="0.2">
      <c r="A111" s="327">
        <v>1000000</v>
      </c>
      <c r="B111" s="327"/>
      <c r="C111" s="327"/>
      <c r="D111" s="328" t="s">
        <v>43</v>
      </c>
      <c r="E111" s="329">
        <f>E112</f>
        <v>83355564</v>
      </c>
      <c r="F111" s="329">
        <f t="shared" ref="F111:G111" si="48">F112</f>
        <v>83355564</v>
      </c>
      <c r="G111" s="329">
        <f t="shared" si="48"/>
        <v>57740325</v>
      </c>
      <c r="H111" s="329">
        <f>H112</f>
        <v>3248142</v>
      </c>
      <c r="I111" s="329">
        <f t="shared" ref="I111" si="49">I112</f>
        <v>0</v>
      </c>
      <c r="J111" s="329">
        <f>J112</f>
        <v>15226334</v>
      </c>
      <c r="K111" s="329">
        <f>K112</f>
        <v>7739554</v>
      </c>
      <c r="L111" s="329">
        <f>L112</f>
        <v>7451780</v>
      </c>
      <c r="M111" s="329">
        <f t="shared" ref="M111" si="50">M112</f>
        <v>5409770</v>
      </c>
      <c r="N111" s="329">
        <f>N112</f>
        <v>197280</v>
      </c>
      <c r="O111" s="329">
        <f>O112</f>
        <v>7774554</v>
      </c>
      <c r="P111" s="329">
        <f t="shared" ref="P111" si="51">P112</f>
        <v>98581898</v>
      </c>
    </row>
    <row r="112" spans="1:18" ht="135" x14ac:dyDescent="0.2">
      <c r="A112" s="324">
        <v>1010000</v>
      </c>
      <c r="B112" s="324"/>
      <c r="C112" s="324"/>
      <c r="D112" s="325" t="s">
        <v>62</v>
      </c>
      <c r="E112" s="326">
        <f>F112</f>
        <v>83355564</v>
      </c>
      <c r="F112" s="326">
        <f>SUM(F113:F120)</f>
        <v>83355564</v>
      </c>
      <c r="G112" s="326">
        <f t="shared" ref="G112:I112" si="52">SUM(G113:G120)</f>
        <v>57740325</v>
      </c>
      <c r="H112" s="326">
        <f t="shared" si="52"/>
        <v>3248142</v>
      </c>
      <c r="I112" s="326">
        <f t="shared" si="52"/>
        <v>0</v>
      </c>
      <c r="J112" s="326">
        <f t="shared" ref="J112:J120" si="53">L112+O112</f>
        <v>15226334</v>
      </c>
      <c r="K112" s="326">
        <f t="shared" ref="K112:O112" si="54">SUM(K113:K120)</f>
        <v>7739554</v>
      </c>
      <c r="L112" s="326">
        <f t="shared" si="54"/>
        <v>7451780</v>
      </c>
      <c r="M112" s="326">
        <f t="shared" si="54"/>
        <v>5409770</v>
      </c>
      <c r="N112" s="326">
        <f t="shared" si="54"/>
        <v>197280</v>
      </c>
      <c r="O112" s="326">
        <f t="shared" si="54"/>
        <v>7774554</v>
      </c>
      <c r="P112" s="326">
        <f t="shared" ref="P112:P119" si="55">E112+J112</f>
        <v>98581898</v>
      </c>
      <c r="Q112" s="146" t="b">
        <f>P112=P113+P114+P115+P116+P117+P118+P119+P120</f>
        <v>1</v>
      </c>
      <c r="R112" s="452" t="b">
        <f>K112='d5'!I71</f>
        <v>1</v>
      </c>
    </row>
    <row r="113" spans="1:18" ht="228.75" x14ac:dyDescent="0.2">
      <c r="A113" s="454" t="s">
        <v>34</v>
      </c>
      <c r="B113" s="454" t="s">
        <v>268</v>
      </c>
      <c r="C113" s="454" t="s">
        <v>269</v>
      </c>
      <c r="D113" s="454" t="s">
        <v>267</v>
      </c>
      <c r="E113" s="453">
        <f>F113</f>
        <v>47590215</v>
      </c>
      <c r="F113" s="311">
        <f>((46221680)+69535)+1065000+234000</f>
        <v>47590215</v>
      </c>
      <c r="G113" s="311">
        <f>(35856900)+1065000</f>
        <v>36921900</v>
      </c>
      <c r="H113" s="311">
        <f>((1907060)+69535)-1300</f>
        <v>1975295</v>
      </c>
      <c r="I113" s="311"/>
      <c r="J113" s="453">
        <f t="shared" si="53"/>
        <v>7699484</v>
      </c>
      <c r="K113" s="311">
        <f>((386442)+1046562)-400000-164900</f>
        <v>868104</v>
      </c>
      <c r="L113" s="311">
        <v>6805480</v>
      </c>
      <c r="M113" s="311">
        <v>5170040</v>
      </c>
      <c r="N113" s="311">
        <v>138080</v>
      </c>
      <c r="O113" s="266">
        <f>K113+25900</f>
        <v>894004</v>
      </c>
      <c r="P113" s="453">
        <f t="shared" si="55"/>
        <v>55289699</v>
      </c>
      <c r="R113" s="452" t="b">
        <f>K113='d5'!I72+'d5'!I73</f>
        <v>1</v>
      </c>
    </row>
    <row r="114" spans="1:18" ht="46.5" x14ac:dyDescent="0.2">
      <c r="A114" s="454" t="s">
        <v>251</v>
      </c>
      <c r="B114" s="454" t="s">
        <v>252</v>
      </c>
      <c r="C114" s="454" t="s">
        <v>255</v>
      </c>
      <c r="D114" s="454" t="s">
        <v>256</v>
      </c>
      <c r="E114" s="453">
        <f t="shared" ref="E114:E117" si="56">F114</f>
        <v>726700</v>
      </c>
      <c r="F114" s="311">
        <v>726700</v>
      </c>
      <c r="G114" s="311"/>
      <c r="H114" s="311"/>
      <c r="I114" s="311"/>
      <c r="J114" s="453">
        <f t="shared" si="53"/>
        <v>0</v>
      </c>
      <c r="K114" s="311"/>
      <c r="L114" s="311"/>
      <c r="M114" s="311"/>
      <c r="N114" s="311"/>
      <c r="O114" s="266">
        <f>K114</f>
        <v>0</v>
      </c>
      <c r="P114" s="453">
        <f t="shared" si="55"/>
        <v>726700</v>
      </c>
      <c r="R114" s="452"/>
    </row>
    <row r="115" spans="1:18" ht="46.5" x14ac:dyDescent="0.2">
      <c r="A115" s="454" t="s">
        <v>257</v>
      </c>
      <c r="B115" s="454" t="s">
        <v>258</v>
      </c>
      <c r="C115" s="454" t="s">
        <v>259</v>
      </c>
      <c r="D115" s="454" t="s">
        <v>260</v>
      </c>
      <c r="E115" s="453">
        <f t="shared" si="56"/>
        <v>7945270</v>
      </c>
      <c r="F115" s="311">
        <f>((7716225)+80300)+148745</f>
        <v>7945270</v>
      </c>
      <c r="G115" s="311">
        <v>5790700</v>
      </c>
      <c r="H115" s="311">
        <v>459705</v>
      </c>
      <c r="I115" s="311"/>
      <c r="J115" s="453">
        <f t="shared" si="53"/>
        <v>716950</v>
      </c>
      <c r="K115" s="311">
        <v>631950</v>
      </c>
      <c r="L115" s="311">
        <v>85000</v>
      </c>
      <c r="M115" s="311">
        <v>9800</v>
      </c>
      <c r="N115" s="311">
        <v>18500</v>
      </c>
      <c r="O115" s="266">
        <f>K115</f>
        <v>631950</v>
      </c>
      <c r="P115" s="453">
        <f t="shared" si="55"/>
        <v>8662220</v>
      </c>
      <c r="R115" s="452" t="b">
        <f>K115='d5'!I74</f>
        <v>1</v>
      </c>
    </row>
    <row r="116" spans="1:18" ht="91.5" x14ac:dyDescent="0.2">
      <c r="A116" s="454" t="s">
        <v>261</v>
      </c>
      <c r="B116" s="454" t="s">
        <v>262</v>
      </c>
      <c r="C116" s="454" t="s">
        <v>259</v>
      </c>
      <c r="D116" s="454" t="s">
        <v>263</v>
      </c>
      <c r="E116" s="453">
        <f t="shared" si="56"/>
        <v>1220535</v>
      </c>
      <c r="F116" s="311">
        <v>1220535</v>
      </c>
      <c r="G116" s="311">
        <v>796025</v>
      </c>
      <c r="H116" s="311">
        <f>(201670)-6000</f>
        <v>195670</v>
      </c>
      <c r="I116" s="311"/>
      <c r="J116" s="453">
        <f t="shared" si="53"/>
        <v>5075000</v>
      </c>
      <c r="K116" s="311">
        <f>(3000000)+2000000</f>
        <v>5000000</v>
      </c>
      <c r="L116" s="311">
        <v>75000</v>
      </c>
      <c r="M116" s="311">
        <v>6100</v>
      </c>
      <c r="N116" s="311">
        <v>3300</v>
      </c>
      <c r="O116" s="266">
        <f>K116</f>
        <v>5000000</v>
      </c>
      <c r="P116" s="453">
        <f t="shared" si="55"/>
        <v>6295535</v>
      </c>
      <c r="R116" s="452" t="b">
        <f>K116='d5'!I75+'d5'!I76</f>
        <v>1</v>
      </c>
    </row>
    <row r="117" spans="1:18" ht="183" x14ac:dyDescent="0.2">
      <c r="A117" s="454" t="s">
        <v>264</v>
      </c>
      <c r="B117" s="454" t="s">
        <v>253</v>
      </c>
      <c r="C117" s="454" t="s">
        <v>265</v>
      </c>
      <c r="D117" s="454" t="s">
        <v>266</v>
      </c>
      <c r="E117" s="453">
        <f t="shared" si="56"/>
        <v>5924182</v>
      </c>
      <c r="F117" s="311">
        <f>((5699642)+116500)+108040</f>
        <v>5924182</v>
      </c>
      <c r="G117" s="311">
        <v>4068700</v>
      </c>
      <c r="H117" s="311">
        <f>(590742)-8000</f>
        <v>582742</v>
      </c>
      <c r="I117" s="311"/>
      <c r="J117" s="453">
        <f t="shared" si="53"/>
        <v>1555400</v>
      </c>
      <c r="K117" s="311">
        <f>(500000)+690000</f>
        <v>1190000</v>
      </c>
      <c r="L117" s="311">
        <v>356300</v>
      </c>
      <c r="M117" s="311">
        <v>218030</v>
      </c>
      <c r="N117" s="311">
        <v>37400</v>
      </c>
      <c r="O117" s="266">
        <f>K117+9100</f>
        <v>1199100</v>
      </c>
      <c r="P117" s="453">
        <f t="shared" si="55"/>
        <v>7479582</v>
      </c>
      <c r="R117" s="452" t="b">
        <f>K117='d5'!I77</f>
        <v>1</v>
      </c>
    </row>
    <row r="118" spans="1:18" ht="137.25" x14ac:dyDescent="0.2">
      <c r="A118" s="454" t="s">
        <v>517</v>
      </c>
      <c r="B118" s="454" t="s">
        <v>518</v>
      </c>
      <c r="C118" s="454" t="s">
        <v>270</v>
      </c>
      <c r="D118" s="454" t="s">
        <v>516</v>
      </c>
      <c r="E118" s="453">
        <f>F118</f>
        <v>13283762</v>
      </c>
      <c r="F118" s="311">
        <f>(13266262)+17500</f>
        <v>13283762</v>
      </c>
      <c r="G118" s="311">
        <v>10163000</v>
      </c>
      <c r="H118" s="311">
        <v>34730</v>
      </c>
      <c r="I118" s="311"/>
      <c r="J118" s="453">
        <f t="shared" si="53"/>
        <v>130000</v>
      </c>
      <c r="K118" s="311"/>
      <c r="L118" s="311">
        <v>130000</v>
      </c>
      <c r="M118" s="311">
        <v>5800</v>
      </c>
      <c r="N118" s="311"/>
      <c r="O118" s="266">
        <f>K118</f>
        <v>0</v>
      </c>
      <c r="P118" s="453">
        <f t="shared" si="55"/>
        <v>13413762</v>
      </c>
      <c r="R118" s="452"/>
    </row>
    <row r="119" spans="1:18" ht="91.5" x14ac:dyDescent="0.2">
      <c r="A119" s="454" t="s">
        <v>519</v>
      </c>
      <c r="B119" s="454" t="s">
        <v>520</v>
      </c>
      <c r="C119" s="454" t="s">
        <v>270</v>
      </c>
      <c r="D119" s="454" t="s">
        <v>521</v>
      </c>
      <c r="E119" s="453">
        <f>F119</f>
        <v>6664900</v>
      </c>
      <c r="F119" s="311">
        <f>((6000000)+300000)+200000+164900</f>
        <v>6664900</v>
      </c>
      <c r="G119" s="311"/>
      <c r="H119" s="311"/>
      <c r="I119" s="311"/>
      <c r="J119" s="453">
        <f t="shared" si="53"/>
        <v>0</v>
      </c>
      <c r="K119" s="311"/>
      <c r="L119" s="311"/>
      <c r="M119" s="311"/>
      <c r="N119" s="311"/>
      <c r="O119" s="266">
        <f>K119</f>
        <v>0</v>
      </c>
      <c r="P119" s="453">
        <f t="shared" si="55"/>
        <v>6664900</v>
      </c>
      <c r="R119" s="452"/>
    </row>
    <row r="120" spans="1:18" ht="91.5" x14ac:dyDescent="0.2">
      <c r="A120" s="454" t="s">
        <v>828</v>
      </c>
      <c r="B120" s="454" t="s">
        <v>287</v>
      </c>
      <c r="C120" s="454" t="s">
        <v>250</v>
      </c>
      <c r="D120" s="454" t="s">
        <v>57</v>
      </c>
      <c r="E120" s="257">
        <f t="shared" ref="E120" si="57">F120</f>
        <v>0</v>
      </c>
      <c r="F120" s="249"/>
      <c r="G120" s="249"/>
      <c r="H120" s="249"/>
      <c r="I120" s="249"/>
      <c r="J120" s="453">
        <f t="shared" si="53"/>
        <v>49500</v>
      </c>
      <c r="K120" s="311">
        <f>(25000)+24500</f>
        <v>49500</v>
      </c>
      <c r="L120" s="249"/>
      <c r="M120" s="249"/>
      <c r="N120" s="249"/>
      <c r="O120" s="266">
        <f t="shared" ref="O120" si="58">K120</f>
        <v>49500</v>
      </c>
      <c r="P120" s="453">
        <f>E120+J120</f>
        <v>49500</v>
      </c>
      <c r="R120" s="452" t="b">
        <f>K120='d5'!I78</f>
        <v>1</v>
      </c>
    </row>
    <row r="121" spans="1:18" ht="135" x14ac:dyDescent="0.2">
      <c r="A121" s="327" t="s">
        <v>40</v>
      </c>
      <c r="B121" s="327"/>
      <c r="C121" s="327"/>
      <c r="D121" s="328" t="s">
        <v>41</v>
      </c>
      <c r="E121" s="329">
        <f>E122</f>
        <v>53842996</v>
      </c>
      <c r="F121" s="329">
        <f t="shared" ref="F121:G121" si="59">F122</f>
        <v>53842996</v>
      </c>
      <c r="G121" s="329">
        <f t="shared" si="59"/>
        <v>18550586</v>
      </c>
      <c r="H121" s="329">
        <f>H122</f>
        <v>1499867</v>
      </c>
      <c r="I121" s="329">
        <f t="shared" ref="I121" si="60">I122</f>
        <v>0</v>
      </c>
      <c r="J121" s="329">
        <f>J122</f>
        <v>5290684</v>
      </c>
      <c r="K121" s="329">
        <f>K122</f>
        <v>3274040</v>
      </c>
      <c r="L121" s="329">
        <f>L122</f>
        <v>2016644</v>
      </c>
      <c r="M121" s="329">
        <f t="shared" ref="M121" si="61">M122</f>
        <v>912155</v>
      </c>
      <c r="N121" s="329">
        <f>N122</f>
        <v>330236</v>
      </c>
      <c r="O121" s="329">
        <f>O122</f>
        <v>3274040</v>
      </c>
      <c r="P121" s="329">
        <f t="shared" ref="P121" si="62">P122</f>
        <v>59133680</v>
      </c>
    </row>
    <row r="122" spans="1:18" ht="135" x14ac:dyDescent="0.2">
      <c r="A122" s="324" t="s">
        <v>39</v>
      </c>
      <c r="B122" s="324"/>
      <c r="C122" s="324"/>
      <c r="D122" s="325" t="s">
        <v>58</v>
      </c>
      <c r="E122" s="326">
        <f>SUM(E123:E136)</f>
        <v>53842996</v>
      </c>
      <c r="F122" s="326">
        <f>SUM(F123:F136)</f>
        <v>53842996</v>
      </c>
      <c r="G122" s="326">
        <f>SUM(G123:G136)</f>
        <v>18550586</v>
      </c>
      <c r="H122" s="326">
        <f>SUM(H123:H136)</f>
        <v>1499867</v>
      </c>
      <c r="I122" s="326">
        <f>SUM(I123:I136)</f>
        <v>0</v>
      </c>
      <c r="J122" s="326">
        <f t="shared" ref="J122:J135" si="63">L122+O122</f>
        <v>5290684</v>
      </c>
      <c r="K122" s="326">
        <f>SUM(K123:K136)</f>
        <v>3274040</v>
      </c>
      <c r="L122" s="326">
        <f>SUM(L123:L136)</f>
        <v>2016644</v>
      </c>
      <c r="M122" s="326">
        <f>SUM(M123:M136)</f>
        <v>912155</v>
      </c>
      <c r="N122" s="326">
        <f>SUM(N123:N136)</f>
        <v>330236</v>
      </c>
      <c r="O122" s="326">
        <f>SUM(O123:O136)</f>
        <v>3274040</v>
      </c>
      <c r="P122" s="326">
        <f>E122+J122</f>
        <v>59133680</v>
      </c>
      <c r="Q122" s="146" t="b">
        <f>P122=P123+P124+P125+P126+P127+P128+P129+P130+P131+P132+P134+P135+P133+P136</f>
        <v>1</v>
      </c>
      <c r="R122" s="452" t="b">
        <f>K122='d5'!I80</f>
        <v>1</v>
      </c>
    </row>
    <row r="123" spans="1:18" ht="137.25" x14ac:dyDescent="0.2">
      <c r="A123" s="454" t="s">
        <v>271</v>
      </c>
      <c r="B123" s="454" t="s">
        <v>272</v>
      </c>
      <c r="C123" s="454" t="s">
        <v>273</v>
      </c>
      <c r="D123" s="454" t="s">
        <v>274</v>
      </c>
      <c r="E123" s="257">
        <f t="shared" ref="E123:E133" si="64">F123</f>
        <v>3511988</v>
      </c>
      <c r="F123" s="249">
        <f>((3278423)+114920)+97250+21395</f>
        <v>3511988</v>
      </c>
      <c r="G123" s="249">
        <f>((2517500)+82000)+97250</f>
        <v>2696750</v>
      </c>
      <c r="H123" s="249">
        <v>66793</v>
      </c>
      <c r="I123" s="249"/>
      <c r="J123" s="453">
        <f t="shared" si="63"/>
        <v>88478</v>
      </c>
      <c r="K123" s="249">
        <f>(53278)+35200</f>
        <v>88478</v>
      </c>
      <c r="L123" s="264"/>
      <c r="M123" s="264"/>
      <c r="N123" s="264"/>
      <c r="O123" s="266">
        <f t="shared" ref="O123:O135" si="65">K123</f>
        <v>88478</v>
      </c>
      <c r="P123" s="453">
        <f>+J123+E123</f>
        <v>3600466</v>
      </c>
      <c r="Q123" s="452"/>
      <c r="R123" s="452" t="b">
        <f>K123='d5'!I81</f>
        <v>1</v>
      </c>
    </row>
    <row r="124" spans="1:18" ht="183" x14ac:dyDescent="0.2">
      <c r="A124" s="454" t="s">
        <v>72</v>
      </c>
      <c r="B124" s="454" t="s">
        <v>254</v>
      </c>
      <c r="C124" s="454" t="s">
        <v>273</v>
      </c>
      <c r="D124" s="454" t="s">
        <v>22</v>
      </c>
      <c r="E124" s="257">
        <f t="shared" si="64"/>
        <v>1485790</v>
      </c>
      <c r="F124" s="249">
        <f>((875790)+350000)+260000</f>
        <v>1485790</v>
      </c>
      <c r="G124" s="249"/>
      <c r="H124" s="249"/>
      <c r="I124" s="249"/>
      <c r="J124" s="453">
        <f t="shared" si="63"/>
        <v>0</v>
      </c>
      <c r="K124" s="249"/>
      <c r="L124" s="264"/>
      <c r="M124" s="264"/>
      <c r="N124" s="264"/>
      <c r="O124" s="266">
        <f t="shared" si="65"/>
        <v>0</v>
      </c>
      <c r="P124" s="453">
        <f>+J124+E124</f>
        <v>1485790</v>
      </c>
      <c r="R124" s="452"/>
    </row>
    <row r="125" spans="1:18" ht="91.5" x14ac:dyDescent="0.2">
      <c r="A125" s="454" t="s">
        <v>278</v>
      </c>
      <c r="B125" s="454" t="s">
        <v>279</v>
      </c>
      <c r="C125" s="454" t="s">
        <v>273</v>
      </c>
      <c r="D125" s="454" t="s">
        <v>23</v>
      </c>
      <c r="E125" s="257">
        <f t="shared" si="64"/>
        <v>3239091</v>
      </c>
      <c r="F125" s="249">
        <f>(((3054118)+225250)+16100+23200-23200+22923)-79300</f>
        <v>3239091</v>
      </c>
      <c r="G125" s="249">
        <f>((1623800)+160000)+16100+23200</f>
        <v>1823100</v>
      </c>
      <c r="H125" s="249">
        <f>(438288)-78900</f>
        <v>359388</v>
      </c>
      <c r="I125" s="249"/>
      <c r="J125" s="453">
        <f t="shared" si="63"/>
        <v>1414055</v>
      </c>
      <c r="K125" s="249">
        <f>((592430)+551506)+48687-120556+8000+8988</f>
        <v>1089055</v>
      </c>
      <c r="L125" s="264">
        <v>325000</v>
      </c>
      <c r="M125" s="264">
        <f>(189100)-34100</f>
        <v>155000</v>
      </c>
      <c r="N125" s="264">
        <v>89400</v>
      </c>
      <c r="O125" s="266">
        <f t="shared" si="65"/>
        <v>1089055</v>
      </c>
      <c r="P125" s="453">
        <f t="shared" ref="P125:P136" si="66">E125+J125</f>
        <v>4653146</v>
      </c>
      <c r="R125" s="452" t="b">
        <f>K125='d5'!I82+'d5'!I83+'d5'!I84</f>
        <v>1</v>
      </c>
    </row>
    <row r="126" spans="1:18" ht="91.5" x14ac:dyDescent="0.2">
      <c r="A126" s="454" t="s">
        <v>560</v>
      </c>
      <c r="B126" s="454" t="s">
        <v>561</v>
      </c>
      <c r="C126" s="454" t="s">
        <v>273</v>
      </c>
      <c r="D126" s="454" t="s">
        <v>562</v>
      </c>
      <c r="E126" s="257">
        <f t="shared" si="64"/>
        <v>5505396</v>
      </c>
      <c r="F126" s="249">
        <f>(((5640576+301303)+363517)-200000-100000)-500000+0</f>
        <v>5505396</v>
      </c>
      <c r="G126" s="249">
        <v>714843</v>
      </c>
      <c r="H126" s="249">
        <f>(97580)-21544</f>
        <v>76036</v>
      </c>
      <c r="I126" s="249"/>
      <c r="J126" s="453">
        <f t="shared" si="63"/>
        <v>1276503</v>
      </c>
      <c r="K126" s="249">
        <f>((816103)+550600)-120200+30000</f>
        <v>1276503</v>
      </c>
      <c r="L126" s="264"/>
      <c r="M126" s="264"/>
      <c r="N126" s="264"/>
      <c r="O126" s="266">
        <f t="shared" si="65"/>
        <v>1276503</v>
      </c>
      <c r="P126" s="453">
        <f t="shared" si="66"/>
        <v>6781899</v>
      </c>
      <c r="R126" s="452" t="b">
        <f>K126='d5'!I85</f>
        <v>1</v>
      </c>
    </row>
    <row r="127" spans="1:18" ht="137.25" x14ac:dyDescent="0.2">
      <c r="A127" s="454" t="s">
        <v>73</v>
      </c>
      <c r="B127" s="454" t="s">
        <v>275</v>
      </c>
      <c r="C127" s="454" t="s">
        <v>285</v>
      </c>
      <c r="D127" s="454" t="s">
        <v>74</v>
      </c>
      <c r="E127" s="257">
        <f t="shared" si="64"/>
        <v>12176475</v>
      </c>
      <c r="F127" s="249">
        <f>(((10002475)+44000)+2000000+150000)-20000</f>
        <v>12176475</v>
      </c>
      <c r="G127" s="311"/>
      <c r="H127" s="311"/>
      <c r="I127" s="311"/>
      <c r="J127" s="453">
        <f t="shared" si="63"/>
        <v>0</v>
      </c>
      <c r="K127" s="311"/>
      <c r="L127" s="311"/>
      <c r="M127" s="311"/>
      <c r="N127" s="311"/>
      <c r="O127" s="266">
        <f t="shared" si="65"/>
        <v>0</v>
      </c>
      <c r="P127" s="453">
        <f t="shared" si="66"/>
        <v>12176475</v>
      </c>
      <c r="R127" s="452"/>
    </row>
    <row r="128" spans="1:18" ht="137.25" x14ac:dyDescent="0.2">
      <c r="A128" s="454" t="s">
        <v>75</v>
      </c>
      <c r="B128" s="454" t="s">
        <v>276</v>
      </c>
      <c r="C128" s="454" t="s">
        <v>285</v>
      </c>
      <c r="D128" s="454" t="s">
        <v>6</v>
      </c>
      <c r="E128" s="257">
        <f t="shared" si="64"/>
        <v>1834013</v>
      </c>
      <c r="F128" s="249">
        <f>(((1727513)+30000)+50000)+26500</f>
        <v>1834013</v>
      </c>
      <c r="G128" s="311"/>
      <c r="H128" s="311"/>
      <c r="I128" s="311"/>
      <c r="J128" s="453">
        <f t="shared" si="63"/>
        <v>0</v>
      </c>
      <c r="K128" s="311"/>
      <c r="L128" s="311"/>
      <c r="M128" s="311"/>
      <c r="N128" s="311"/>
      <c r="O128" s="266">
        <f t="shared" si="65"/>
        <v>0</v>
      </c>
      <c r="P128" s="453">
        <f t="shared" si="66"/>
        <v>1834013</v>
      </c>
      <c r="R128" s="452"/>
    </row>
    <row r="129" spans="1:18" ht="183" x14ac:dyDescent="0.2">
      <c r="A129" s="454" t="s">
        <v>76</v>
      </c>
      <c r="B129" s="454" t="s">
        <v>277</v>
      </c>
      <c r="C129" s="454" t="s">
        <v>285</v>
      </c>
      <c r="D129" s="454" t="s">
        <v>557</v>
      </c>
      <c r="E129" s="257">
        <f>F129</f>
        <v>4014</v>
      </c>
      <c r="F129" s="249">
        <f>(53014)-49000</f>
        <v>4014</v>
      </c>
      <c r="G129" s="249"/>
      <c r="H129" s="249"/>
      <c r="I129" s="311"/>
      <c r="J129" s="453">
        <f t="shared" si="63"/>
        <v>0</v>
      </c>
      <c r="K129" s="311"/>
      <c r="L129" s="249"/>
      <c r="M129" s="249"/>
      <c r="N129" s="249"/>
      <c r="O129" s="266">
        <f t="shared" si="65"/>
        <v>0</v>
      </c>
      <c r="P129" s="453">
        <f t="shared" si="66"/>
        <v>4014</v>
      </c>
      <c r="R129" s="452"/>
    </row>
    <row r="130" spans="1:18" ht="183" x14ac:dyDescent="0.2">
      <c r="A130" s="454" t="s">
        <v>49</v>
      </c>
      <c r="B130" s="454" t="s">
        <v>282</v>
      </c>
      <c r="C130" s="454" t="s">
        <v>285</v>
      </c>
      <c r="D130" s="454" t="s">
        <v>77</v>
      </c>
      <c r="E130" s="257">
        <f t="shared" si="64"/>
        <v>18783097</v>
      </c>
      <c r="F130" s="249">
        <f>(((18126095)+615012)+54454+11980+47000+35190+6800-54454-11980-47000)+40000-20000-20000+27862-27862</f>
        <v>18783097</v>
      </c>
      <c r="G130" s="249">
        <f>((12402731)+54454-54454)+27862+40000</f>
        <v>12470593</v>
      </c>
      <c r="H130" s="249">
        <f>(1025512)-27862</f>
        <v>997650</v>
      </c>
      <c r="I130" s="249"/>
      <c r="J130" s="453">
        <f t="shared" si="63"/>
        <v>2312444</v>
      </c>
      <c r="K130" s="249">
        <f>((519800)+97000)+34000+12000</f>
        <v>662800</v>
      </c>
      <c r="L130" s="249">
        <v>1649644</v>
      </c>
      <c r="M130" s="249">
        <v>757155</v>
      </c>
      <c r="N130" s="249">
        <f>255836-15000</f>
        <v>240836</v>
      </c>
      <c r="O130" s="266">
        <f t="shared" si="65"/>
        <v>662800</v>
      </c>
      <c r="P130" s="453">
        <f t="shared" si="66"/>
        <v>21095541</v>
      </c>
      <c r="R130" s="452" t="b">
        <f>K130='d5'!I86+'d5'!I87</f>
        <v>1</v>
      </c>
    </row>
    <row r="131" spans="1:18" ht="183" x14ac:dyDescent="0.2">
      <c r="A131" s="454" t="s">
        <v>50</v>
      </c>
      <c r="B131" s="454" t="s">
        <v>283</v>
      </c>
      <c r="C131" s="454" t="s">
        <v>285</v>
      </c>
      <c r="D131" s="454" t="s">
        <v>78</v>
      </c>
      <c r="E131" s="257">
        <f t="shared" si="64"/>
        <v>4319656</v>
      </c>
      <c r="F131" s="249">
        <f>(4254685)+64971</f>
        <v>4319656</v>
      </c>
      <c r="G131" s="249"/>
      <c r="H131" s="249"/>
      <c r="I131" s="249"/>
      <c r="J131" s="453">
        <f t="shared" si="63"/>
        <v>0</v>
      </c>
      <c r="K131" s="249"/>
      <c r="L131" s="249"/>
      <c r="M131" s="249"/>
      <c r="N131" s="249"/>
      <c r="O131" s="266">
        <f t="shared" si="65"/>
        <v>0</v>
      </c>
      <c r="P131" s="453">
        <f t="shared" si="66"/>
        <v>4319656</v>
      </c>
      <c r="R131" s="452"/>
    </row>
    <row r="132" spans="1:18" ht="228.75" x14ac:dyDescent="0.2">
      <c r="A132" s="279" t="s">
        <v>51</v>
      </c>
      <c r="B132" s="279" t="s">
        <v>284</v>
      </c>
      <c r="C132" s="279" t="s">
        <v>285</v>
      </c>
      <c r="D132" s="454" t="s">
        <v>52</v>
      </c>
      <c r="E132" s="257">
        <f t="shared" si="64"/>
        <v>1545766</v>
      </c>
      <c r="F132" s="249">
        <f>(((1500611)-44000)+129155)-40000</f>
        <v>1545766</v>
      </c>
      <c r="G132" s="311"/>
      <c r="H132" s="311"/>
      <c r="I132" s="311"/>
      <c r="J132" s="453">
        <f t="shared" si="63"/>
        <v>0</v>
      </c>
      <c r="K132" s="311"/>
      <c r="L132" s="311"/>
      <c r="M132" s="311"/>
      <c r="N132" s="311"/>
      <c r="O132" s="266">
        <f t="shared" si="65"/>
        <v>0</v>
      </c>
      <c r="P132" s="453">
        <f t="shared" si="66"/>
        <v>1545766</v>
      </c>
      <c r="R132" s="452"/>
    </row>
    <row r="133" spans="1:18" ht="183" x14ac:dyDescent="0.2">
      <c r="A133" s="454" t="s">
        <v>952</v>
      </c>
      <c r="B133" s="454" t="s">
        <v>953</v>
      </c>
      <c r="C133" s="454" t="s">
        <v>285</v>
      </c>
      <c r="D133" s="454" t="s">
        <v>954</v>
      </c>
      <c r="E133" s="257">
        <f t="shared" si="64"/>
        <v>98296</v>
      </c>
      <c r="F133" s="249">
        <f>(68296)+30000</f>
        <v>98296</v>
      </c>
      <c r="G133" s="249"/>
      <c r="H133" s="249"/>
      <c r="I133" s="249"/>
      <c r="J133" s="453">
        <f t="shared" si="63"/>
        <v>0</v>
      </c>
      <c r="K133" s="249"/>
      <c r="L133" s="249"/>
      <c r="M133" s="249"/>
      <c r="N133" s="249"/>
      <c r="O133" s="266">
        <f t="shared" si="65"/>
        <v>0</v>
      </c>
      <c r="P133" s="453">
        <f t="shared" si="66"/>
        <v>98296</v>
      </c>
      <c r="R133" s="452"/>
    </row>
    <row r="134" spans="1:18" ht="91.5" x14ac:dyDescent="0.2">
      <c r="A134" s="279" t="s">
        <v>53</v>
      </c>
      <c r="B134" s="279" t="s">
        <v>286</v>
      </c>
      <c r="C134" s="279" t="s">
        <v>285</v>
      </c>
      <c r="D134" s="454" t="s">
        <v>54</v>
      </c>
      <c r="E134" s="257">
        <f>F134</f>
        <v>1318414</v>
      </c>
      <c r="F134" s="249">
        <f>(((1179249)+88165)+7000+1500+12000)+25000+5500</f>
        <v>1318414</v>
      </c>
      <c r="G134" s="311">
        <f>((813300)+7000)+25000</f>
        <v>845300</v>
      </c>
      <c r="H134" s="311"/>
      <c r="I134" s="311"/>
      <c r="J134" s="453">
        <f t="shared" si="63"/>
        <v>99500</v>
      </c>
      <c r="K134" s="311">
        <v>57500</v>
      </c>
      <c r="L134" s="311">
        <v>42000</v>
      </c>
      <c r="M134" s="311"/>
      <c r="N134" s="311"/>
      <c r="O134" s="266">
        <f t="shared" si="65"/>
        <v>57500</v>
      </c>
      <c r="P134" s="453">
        <f t="shared" si="66"/>
        <v>1417914</v>
      </c>
      <c r="R134" s="452" t="b">
        <f>K134='d5'!I88</f>
        <v>1</v>
      </c>
    </row>
    <row r="135" spans="1:18" ht="274.5" x14ac:dyDescent="0.2">
      <c r="A135" s="279" t="s">
        <v>531</v>
      </c>
      <c r="B135" s="279" t="s">
        <v>530</v>
      </c>
      <c r="C135" s="279" t="s">
        <v>529</v>
      </c>
      <c r="D135" s="454" t="s">
        <v>528</v>
      </c>
      <c r="E135" s="257">
        <f>F135</f>
        <v>21000</v>
      </c>
      <c r="F135" s="249">
        <v>21000</v>
      </c>
      <c r="G135" s="311"/>
      <c r="H135" s="311"/>
      <c r="I135" s="311"/>
      <c r="J135" s="453">
        <f t="shared" si="63"/>
        <v>0</v>
      </c>
      <c r="K135" s="311"/>
      <c r="L135" s="311"/>
      <c r="M135" s="311"/>
      <c r="N135" s="311"/>
      <c r="O135" s="266">
        <f t="shared" si="65"/>
        <v>0</v>
      </c>
      <c r="P135" s="453">
        <f t="shared" si="66"/>
        <v>21000</v>
      </c>
      <c r="R135" s="452"/>
    </row>
    <row r="136" spans="1:18" ht="91.5" x14ac:dyDescent="0.2">
      <c r="A136" s="454" t="s">
        <v>876</v>
      </c>
      <c r="B136" s="454" t="s">
        <v>287</v>
      </c>
      <c r="C136" s="454" t="s">
        <v>250</v>
      </c>
      <c r="D136" s="454" t="s">
        <v>57</v>
      </c>
      <c r="E136" s="257">
        <f>F136</f>
        <v>0</v>
      </c>
      <c r="F136" s="249">
        <f>30000-30000</f>
        <v>0</v>
      </c>
      <c r="G136" s="249"/>
      <c r="H136" s="249"/>
      <c r="I136" s="249"/>
      <c r="J136" s="453">
        <f>L136+O136</f>
        <v>99704</v>
      </c>
      <c r="K136" s="311">
        <v>99704</v>
      </c>
      <c r="L136" s="249"/>
      <c r="M136" s="249"/>
      <c r="N136" s="249"/>
      <c r="O136" s="266">
        <f>K136</f>
        <v>99704</v>
      </c>
      <c r="P136" s="453">
        <f t="shared" si="66"/>
        <v>99704</v>
      </c>
      <c r="R136" s="452" t="b">
        <f>K136='d5'!I89</f>
        <v>1</v>
      </c>
    </row>
    <row r="137" spans="1:18" ht="180" x14ac:dyDescent="0.2">
      <c r="A137" s="327" t="s">
        <v>238</v>
      </c>
      <c r="B137" s="327"/>
      <c r="C137" s="327"/>
      <c r="D137" s="328" t="s">
        <v>42</v>
      </c>
      <c r="E137" s="329">
        <f>E138</f>
        <v>281377100</v>
      </c>
      <c r="F137" s="329">
        <f t="shared" ref="F137:G137" si="67">F138</f>
        <v>281377100</v>
      </c>
      <c r="G137" s="329">
        <f t="shared" si="67"/>
        <v>8409070</v>
      </c>
      <c r="H137" s="329">
        <f>H138</f>
        <v>230900</v>
      </c>
      <c r="I137" s="329">
        <f t="shared" ref="I137" si="68">I138</f>
        <v>0</v>
      </c>
      <c r="J137" s="329">
        <f>J138</f>
        <v>236608894.46000001</v>
      </c>
      <c r="K137" s="329">
        <f>K138</f>
        <v>235577972.31</v>
      </c>
      <c r="L137" s="329">
        <f>L138</f>
        <v>1001137</v>
      </c>
      <c r="M137" s="329">
        <f t="shared" ref="M137" si="69">M138</f>
        <v>0</v>
      </c>
      <c r="N137" s="329">
        <f>N138</f>
        <v>0</v>
      </c>
      <c r="O137" s="329">
        <f>O138</f>
        <v>235607757.46000001</v>
      </c>
      <c r="P137" s="329">
        <f>P138</f>
        <v>517985994.46000004</v>
      </c>
    </row>
    <row r="138" spans="1:18" ht="180" x14ac:dyDescent="0.2">
      <c r="A138" s="324" t="s">
        <v>239</v>
      </c>
      <c r="B138" s="324"/>
      <c r="C138" s="324"/>
      <c r="D138" s="325" t="s">
        <v>63</v>
      </c>
      <c r="E138" s="326">
        <f>SUM(E139:E158)</f>
        <v>281377100</v>
      </c>
      <c r="F138" s="326">
        <f>SUM(F139:F158)</f>
        <v>281377100</v>
      </c>
      <c r="G138" s="326">
        <f>SUM(G139:G158)</f>
        <v>8409070</v>
      </c>
      <c r="H138" s="326">
        <f>SUM(H139:H158)</f>
        <v>230900</v>
      </c>
      <c r="I138" s="326">
        <f>SUM(I139:I158)</f>
        <v>0</v>
      </c>
      <c r="J138" s="326">
        <f t="shared" ref="J138:J156" si="70">L138+O138</f>
        <v>236608894.46000001</v>
      </c>
      <c r="K138" s="326">
        <f>SUM(K139:K158)</f>
        <v>235577972.31</v>
      </c>
      <c r="L138" s="326">
        <f>SUM(L139:L158)</f>
        <v>1001137</v>
      </c>
      <c r="M138" s="326">
        <f>SUM(M139:M158)</f>
        <v>0</v>
      </c>
      <c r="N138" s="326">
        <f>SUM(N139:N158)</f>
        <v>0</v>
      </c>
      <c r="O138" s="326">
        <f>SUM(O139:O158)</f>
        <v>235607757.46000001</v>
      </c>
      <c r="P138" s="326">
        <f>E138+J138</f>
        <v>517985994.46000004</v>
      </c>
      <c r="Q138" s="146" t="b">
        <f>P138=P141+P143+P144+P145+P146+P147+P148+P152+P154+P155+P158+P142+P139+P150+P151+P156+P140+P149+P153</f>
        <v>1</v>
      </c>
      <c r="R138" s="452" t="b">
        <f>K138='d5'!I91</f>
        <v>1</v>
      </c>
    </row>
    <row r="139" spans="1:18" ht="228.75" x14ac:dyDescent="0.2">
      <c r="A139" s="454" t="s">
        <v>717</v>
      </c>
      <c r="B139" s="454" t="s">
        <v>335</v>
      </c>
      <c r="C139" s="454" t="s">
        <v>333</v>
      </c>
      <c r="D139" s="454" t="s">
        <v>334</v>
      </c>
      <c r="E139" s="257">
        <f>F139</f>
        <v>9729222</v>
      </c>
      <c r="F139" s="249">
        <f>(((9531200)-49300+160000)+25300+4000)+58022</f>
        <v>9729222</v>
      </c>
      <c r="G139" s="249">
        <f>(7129200)+260722</f>
        <v>7389922</v>
      </c>
      <c r="H139" s="249">
        <f>(134000)+25300+4000</f>
        <v>163300</v>
      </c>
      <c r="I139" s="249"/>
      <c r="J139" s="453">
        <f t="shared" si="70"/>
        <v>0</v>
      </c>
      <c r="K139" s="249"/>
      <c r="L139" s="264"/>
      <c r="M139" s="264"/>
      <c r="N139" s="264"/>
      <c r="O139" s="266">
        <f t="shared" ref="O139:O155" si="71">K139</f>
        <v>0</v>
      </c>
      <c r="P139" s="453">
        <f t="shared" ref="P139:P145" si="72">+J139+E139</f>
        <v>9729222</v>
      </c>
      <c r="Q139" s="146"/>
      <c r="R139" s="452"/>
    </row>
    <row r="140" spans="1:18" ht="91.5" x14ac:dyDescent="0.2">
      <c r="A140" s="454" t="s">
        <v>806</v>
      </c>
      <c r="B140" s="454" t="s">
        <v>71</v>
      </c>
      <c r="C140" s="454" t="s">
        <v>70</v>
      </c>
      <c r="D140" s="454" t="s">
        <v>348</v>
      </c>
      <c r="E140" s="257">
        <f>F140</f>
        <v>146300</v>
      </c>
      <c r="F140" s="249">
        <f>(49300)+97000</f>
        <v>146300</v>
      </c>
      <c r="G140" s="249"/>
      <c r="H140" s="249"/>
      <c r="I140" s="249"/>
      <c r="J140" s="453">
        <f t="shared" si="70"/>
        <v>0</v>
      </c>
      <c r="K140" s="249"/>
      <c r="L140" s="264"/>
      <c r="M140" s="264"/>
      <c r="N140" s="264"/>
      <c r="O140" s="266">
        <f t="shared" si="71"/>
        <v>0</v>
      </c>
      <c r="P140" s="453">
        <f t="shared" si="72"/>
        <v>146300</v>
      </c>
      <c r="Q140" s="146"/>
      <c r="R140" s="452"/>
    </row>
    <row r="141" spans="1:18" ht="91.5" x14ac:dyDescent="0.2">
      <c r="A141" s="454" t="s">
        <v>411</v>
      </c>
      <c r="B141" s="454" t="s">
        <v>412</v>
      </c>
      <c r="C141" s="454" t="s">
        <v>529</v>
      </c>
      <c r="D141" s="454" t="s">
        <v>413</v>
      </c>
      <c r="E141" s="257">
        <f t="shared" ref="E141:E158" si="73">F141</f>
        <v>2183600</v>
      </c>
      <c r="F141" s="249">
        <v>2183600</v>
      </c>
      <c r="G141" s="249"/>
      <c r="H141" s="249"/>
      <c r="I141" s="249"/>
      <c r="J141" s="453">
        <f t="shared" si="70"/>
        <v>4455000</v>
      </c>
      <c r="K141" s="249">
        <f>(4550000)-95000</f>
        <v>4455000</v>
      </c>
      <c r="L141" s="264"/>
      <c r="M141" s="264"/>
      <c r="N141" s="264"/>
      <c r="O141" s="266">
        <f t="shared" si="71"/>
        <v>4455000</v>
      </c>
      <c r="P141" s="453">
        <f t="shared" si="72"/>
        <v>6638600</v>
      </c>
    </row>
    <row r="142" spans="1:18" ht="137.25" x14ac:dyDescent="0.2">
      <c r="A142" s="454" t="s">
        <v>624</v>
      </c>
      <c r="B142" s="454" t="s">
        <v>625</v>
      </c>
      <c r="C142" s="454" t="s">
        <v>414</v>
      </c>
      <c r="D142" s="454" t="s">
        <v>626</v>
      </c>
      <c r="E142" s="257">
        <f t="shared" si="73"/>
        <v>31500000</v>
      </c>
      <c r="F142" s="249">
        <f>((18000000)+12000000-1000000)+2500000</f>
        <v>31500000</v>
      </c>
      <c r="G142" s="249"/>
      <c r="H142" s="249"/>
      <c r="I142" s="249"/>
      <c r="J142" s="453">
        <f t="shared" si="70"/>
        <v>0</v>
      </c>
      <c r="K142" s="249"/>
      <c r="L142" s="264"/>
      <c r="M142" s="264"/>
      <c r="N142" s="264"/>
      <c r="O142" s="266">
        <f t="shared" si="71"/>
        <v>0</v>
      </c>
      <c r="P142" s="453">
        <f t="shared" si="72"/>
        <v>31500000</v>
      </c>
    </row>
    <row r="143" spans="1:18" ht="137.25" x14ac:dyDescent="0.2">
      <c r="A143" s="454" t="s">
        <v>418</v>
      </c>
      <c r="B143" s="454" t="s">
        <v>419</v>
      </c>
      <c r="C143" s="454" t="s">
        <v>414</v>
      </c>
      <c r="D143" s="454" t="s">
        <v>420</v>
      </c>
      <c r="E143" s="257">
        <f t="shared" si="73"/>
        <v>16553700</v>
      </c>
      <c r="F143" s="249">
        <f>((5553700)+5000000)+5000000+1000000</f>
        <v>16553700</v>
      </c>
      <c r="G143" s="249"/>
      <c r="H143" s="249"/>
      <c r="I143" s="249"/>
      <c r="J143" s="453">
        <f t="shared" si="70"/>
        <v>0</v>
      </c>
      <c r="K143" s="249"/>
      <c r="L143" s="264"/>
      <c r="M143" s="264"/>
      <c r="N143" s="264"/>
      <c r="O143" s="266">
        <f t="shared" si="71"/>
        <v>0</v>
      </c>
      <c r="P143" s="453">
        <f t="shared" si="72"/>
        <v>16553700</v>
      </c>
    </row>
    <row r="144" spans="1:18" ht="91.5" x14ac:dyDescent="0.2">
      <c r="A144" s="454" t="s">
        <v>441</v>
      </c>
      <c r="B144" s="454" t="s">
        <v>442</v>
      </c>
      <c r="C144" s="454" t="s">
        <v>414</v>
      </c>
      <c r="D144" s="454" t="s">
        <v>443</v>
      </c>
      <c r="E144" s="257">
        <f t="shared" si="73"/>
        <v>0</v>
      </c>
      <c r="F144" s="249"/>
      <c r="G144" s="249"/>
      <c r="H144" s="249"/>
      <c r="I144" s="249"/>
      <c r="J144" s="453">
        <f t="shared" si="70"/>
        <v>6145000</v>
      </c>
      <c r="K144" s="249">
        <f>5770000+375000</f>
        <v>6145000</v>
      </c>
      <c r="L144" s="264"/>
      <c r="M144" s="264"/>
      <c r="N144" s="264"/>
      <c r="O144" s="266">
        <f t="shared" si="71"/>
        <v>6145000</v>
      </c>
      <c r="P144" s="453">
        <f t="shared" si="72"/>
        <v>6145000</v>
      </c>
    </row>
    <row r="145" spans="1:18" ht="137.25" x14ac:dyDescent="0.2">
      <c r="A145" s="454" t="s">
        <v>415</v>
      </c>
      <c r="B145" s="454" t="s">
        <v>416</v>
      </c>
      <c r="C145" s="454" t="s">
        <v>414</v>
      </c>
      <c r="D145" s="454" t="s">
        <v>417</v>
      </c>
      <c r="E145" s="257">
        <f t="shared" si="73"/>
        <v>0</v>
      </c>
      <c r="F145" s="249">
        <v>0</v>
      </c>
      <c r="G145" s="249"/>
      <c r="H145" s="249"/>
      <c r="I145" s="249"/>
      <c r="J145" s="453">
        <f t="shared" si="70"/>
        <v>24331028</v>
      </c>
      <c r="K145" s="249">
        <f>((23000000)+271028+1000000)+60000</f>
        <v>24331028</v>
      </c>
      <c r="L145" s="264"/>
      <c r="M145" s="264"/>
      <c r="N145" s="264"/>
      <c r="O145" s="266">
        <f t="shared" si="71"/>
        <v>24331028</v>
      </c>
      <c r="P145" s="453">
        <f t="shared" si="72"/>
        <v>24331028</v>
      </c>
    </row>
    <row r="146" spans="1:18" ht="228.75" x14ac:dyDescent="0.2">
      <c r="A146" s="454" t="s">
        <v>435</v>
      </c>
      <c r="B146" s="454" t="s">
        <v>436</v>
      </c>
      <c r="C146" s="454" t="s">
        <v>414</v>
      </c>
      <c r="D146" s="454" t="s">
        <v>437</v>
      </c>
      <c r="E146" s="257">
        <f t="shared" si="73"/>
        <v>369575</v>
      </c>
      <c r="F146" s="249">
        <f>((370575)+100000)-101000</f>
        <v>369575</v>
      </c>
      <c r="G146" s="249"/>
      <c r="H146" s="249"/>
      <c r="I146" s="249"/>
      <c r="J146" s="453">
        <f t="shared" si="70"/>
        <v>0</v>
      </c>
      <c r="K146" s="311"/>
      <c r="L146" s="249"/>
      <c r="M146" s="249"/>
      <c r="N146" s="249"/>
      <c r="O146" s="266">
        <f t="shared" si="71"/>
        <v>0</v>
      </c>
      <c r="P146" s="453">
        <f t="shared" ref="P146:P151" si="74">E146+J146</f>
        <v>369575</v>
      </c>
    </row>
    <row r="147" spans="1:18" ht="91.5" x14ac:dyDescent="0.2">
      <c r="A147" s="454" t="s">
        <v>421</v>
      </c>
      <c r="B147" s="454" t="s">
        <v>422</v>
      </c>
      <c r="C147" s="454" t="s">
        <v>414</v>
      </c>
      <c r="D147" s="454" t="s">
        <v>423</v>
      </c>
      <c r="E147" s="257">
        <f t="shared" si="73"/>
        <v>129685988</v>
      </c>
      <c r="F147" s="249">
        <f>((119582180)+6010045)+4093763</f>
        <v>129685988</v>
      </c>
      <c r="G147" s="249"/>
      <c r="H147" s="249">
        <f>((10000)+5000)+40000</f>
        <v>55000</v>
      </c>
      <c r="I147" s="249"/>
      <c r="J147" s="453">
        <f t="shared" si="70"/>
        <v>22216452</v>
      </c>
      <c r="K147" s="311">
        <f>((24145451)-184050)-1744949</f>
        <v>22216452</v>
      </c>
      <c r="L147" s="249"/>
      <c r="M147" s="249"/>
      <c r="N147" s="249"/>
      <c r="O147" s="266">
        <f t="shared" si="71"/>
        <v>22216452</v>
      </c>
      <c r="P147" s="453">
        <f t="shared" si="74"/>
        <v>151902440</v>
      </c>
    </row>
    <row r="148" spans="1:18" ht="92.25" x14ac:dyDescent="0.2">
      <c r="A148" s="454" t="s">
        <v>445</v>
      </c>
      <c r="B148" s="454" t="s">
        <v>446</v>
      </c>
      <c r="C148" s="454" t="s">
        <v>444</v>
      </c>
      <c r="D148" s="454" t="s">
        <v>447</v>
      </c>
      <c r="E148" s="257">
        <f t="shared" si="73"/>
        <v>0</v>
      </c>
      <c r="F148" s="249"/>
      <c r="G148" s="249"/>
      <c r="H148" s="249"/>
      <c r="I148" s="249"/>
      <c r="J148" s="453">
        <f>L148+O148</f>
        <v>8368600</v>
      </c>
      <c r="K148" s="311">
        <f>((((18518000)-4000000-8818000)+2728600)+200000)-260000</f>
        <v>8368600</v>
      </c>
      <c r="L148" s="249"/>
      <c r="M148" s="249"/>
      <c r="N148" s="249"/>
      <c r="O148" s="266">
        <f>K148</f>
        <v>8368600</v>
      </c>
      <c r="P148" s="453">
        <f t="shared" si="74"/>
        <v>8368600</v>
      </c>
    </row>
    <row r="149" spans="1:18" ht="137.25" x14ac:dyDescent="0.2">
      <c r="A149" s="454" t="s">
        <v>830</v>
      </c>
      <c r="B149" s="454" t="s">
        <v>559</v>
      </c>
      <c r="C149" s="454" t="s">
        <v>250</v>
      </c>
      <c r="D149" s="454" t="s">
        <v>392</v>
      </c>
      <c r="E149" s="257">
        <f t="shared" si="73"/>
        <v>0</v>
      </c>
      <c r="F149" s="249"/>
      <c r="G149" s="249"/>
      <c r="H149" s="249"/>
      <c r="I149" s="249"/>
      <c r="J149" s="453">
        <f>L149+O149</f>
        <v>38028000</v>
      </c>
      <c r="K149" s="311">
        <v>38028000</v>
      </c>
      <c r="L149" s="249"/>
      <c r="M149" s="249"/>
      <c r="N149" s="249"/>
      <c r="O149" s="266">
        <f>K149</f>
        <v>38028000</v>
      </c>
      <c r="P149" s="453">
        <f t="shared" si="74"/>
        <v>38028000</v>
      </c>
    </row>
    <row r="150" spans="1:18" ht="91.5" x14ac:dyDescent="0.2">
      <c r="A150" s="454" t="s">
        <v>700</v>
      </c>
      <c r="B150" s="454" t="s">
        <v>701</v>
      </c>
      <c r="C150" s="454" t="s">
        <v>702</v>
      </c>
      <c r="D150" s="454" t="s">
        <v>703</v>
      </c>
      <c r="E150" s="257">
        <f t="shared" si="73"/>
        <v>0</v>
      </c>
      <c r="F150" s="249">
        <f>((10620634)+5767000)-16387634</f>
        <v>0</v>
      </c>
      <c r="G150" s="249"/>
      <c r="H150" s="249"/>
      <c r="I150" s="249"/>
      <c r="J150" s="453">
        <f t="shared" si="70"/>
        <v>0</v>
      </c>
      <c r="K150" s="311"/>
      <c r="L150" s="249"/>
      <c r="M150" s="249"/>
      <c r="N150" s="249"/>
      <c r="O150" s="266">
        <f t="shared" si="71"/>
        <v>0</v>
      </c>
      <c r="P150" s="453">
        <f t="shared" si="74"/>
        <v>0</v>
      </c>
    </row>
    <row r="151" spans="1:18" ht="91.5" x14ac:dyDescent="0.2">
      <c r="A151" s="454" t="s">
        <v>424</v>
      </c>
      <c r="B151" s="454" t="s">
        <v>425</v>
      </c>
      <c r="C151" s="454" t="s">
        <v>427</v>
      </c>
      <c r="D151" s="454" t="s">
        <v>426</v>
      </c>
      <c r="E151" s="257">
        <f t="shared" si="73"/>
        <v>23576030</v>
      </c>
      <c r="F151" s="249">
        <f>(((16217135)+9633000)-1367600)-906505</f>
        <v>23576030</v>
      </c>
      <c r="G151" s="249"/>
      <c r="H151" s="249"/>
      <c r="I151" s="249"/>
      <c r="J151" s="453">
        <f t="shared" si="70"/>
        <v>0</v>
      </c>
      <c r="K151" s="311"/>
      <c r="L151" s="249"/>
      <c r="M151" s="249"/>
      <c r="N151" s="249"/>
      <c r="O151" s="266">
        <f t="shared" si="71"/>
        <v>0</v>
      </c>
      <c r="P151" s="453">
        <f t="shared" si="74"/>
        <v>23576030</v>
      </c>
    </row>
    <row r="152" spans="1:18" ht="183" x14ac:dyDescent="0.2">
      <c r="A152" s="454" t="s">
        <v>428</v>
      </c>
      <c r="B152" s="454" t="s">
        <v>429</v>
      </c>
      <c r="C152" s="454" t="s">
        <v>431</v>
      </c>
      <c r="D152" s="454" t="s">
        <v>430</v>
      </c>
      <c r="E152" s="257">
        <f t="shared" si="73"/>
        <v>65804675</v>
      </c>
      <c r="F152" s="249">
        <f>(66101675)-297000</f>
        <v>65804675</v>
      </c>
      <c r="G152" s="249"/>
      <c r="H152" s="249"/>
      <c r="I152" s="249"/>
      <c r="J152" s="453">
        <f t="shared" si="70"/>
        <v>80246710.780000001</v>
      </c>
      <c r="K152" s="249">
        <f>((82763108-570000)+3377030.11-31243.48-250000+31-1000000-500000-372000)-3200000</f>
        <v>80216925.629999995</v>
      </c>
      <c r="L152" s="264"/>
      <c r="M152" s="264"/>
      <c r="N152" s="264"/>
      <c r="O152" s="266">
        <f>(K152+31243.48)-1458.33</f>
        <v>80246710.780000001</v>
      </c>
      <c r="P152" s="453">
        <f>+J152+E152</f>
        <v>146051385.78</v>
      </c>
    </row>
    <row r="153" spans="1:18" ht="183" x14ac:dyDescent="0.2">
      <c r="A153" s="454" t="s">
        <v>935</v>
      </c>
      <c r="B153" s="454" t="s">
        <v>936</v>
      </c>
      <c r="C153" s="454" t="s">
        <v>431</v>
      </c>
      <c r="D153" s="454" t="s">
        <v>937</v>
      </c>
      <c r="E153" s="257">
        <f t="shared" si="73"/>
        <v>0</v>
      </c>
      <c r="F153" s="249"/>
      <c r="G153" s="249"/>
      <c r="H153" s="249"/>
      <c r="I153" s="249"/>
      <c r="J153" s="453">
        <f t="shared" si="70"/>
        <v>1400000</v>
      </c>
      <c r="K153" s="249">
        <v>1400000</v>
      </c>
      <c r="L153" s="264"/>
      <c r="M153" s="264"/>
      <c r="N153" s="264"/>
      <c r="O153" s="266">
        <f>K153</f>
        <v>1400000</v>
      </c>
      <c r="P153" s="453">
        <f>+J153+E153</f>
        <v>1400000</v>
      </c>
    </row>
    <row r="154" spans="1:18" ht="46.5" x14ac:dyDescent="0.2">
      <c r="A154" s="454" t="s">
        <v>432</v>
      </c>
      <c r="B154" s="454" t="s">
        <v>311</v>
      </c>
      <c r="C154" s="454" t="s">
        <v>312</v>
      </c>
      <c r="D154" s="454" t="s">
        <v>67</v>
      </c>
      <c r="E154" s="257">
        <f t="shared" si="73"/>
        <v>550000</v>
      </c>
      <c r="F154" s="249">
        <f>(250000)+300000</f>
        <v>550000</v>
      </c>
      <c r="G154" s="249"/>
      <c r="H154" s="249"/>
      <c r="I154" s="249"/>
      <c r="J154" s="453">
        <f t="shared" si="70"/>
        <v>950000</v>
      </c>
      <c r="K154" s="311">
        <f>(1000000+250000)-300000</f>
        <v>950000</v>
      </c>
      <c r="L154" s="249"/>
      <c r="M154" s="249"/>
      <c r="N154" s="249"/>
      <c r="O154" s="266">
        <f t="shared" si="71"/>
        <v>950000</v>
      </c>
      <c r="P154" s="453">
        <f>E154+J154</f>
        <v>1500000</v>
      </c>
    </row>
    <row r="155" spans="1:18" ht="91.5" x14ac:dyDescent="0.65">
      <c r="A155" s="454" t="s">
        <v>449</v>
      </c>
      <c r="B155" s="454" t="s">
        <v>287</v>
      </c>
      <c r="C155" s="454" t="s">
        <v>250</v>
      </c>
      <c r="D155" s="454" t="s">
        <v>57</v>
      </c>
      <c r="E155" s="257">
        <f t="shared" si="73"/>
        <v>0</v>
      </c>
      <c r="F155" s="249"/>
      <c r="G155" s="249"/>
      <c r="H155" s="249"/>
      <c r="I155" s="249"/>
      <c r="J155" s="453">
        <f t="shared" si="70"/>
        <v>49466966.68</v>
      </c>
      <c r="K155" s="311">
        <f>((41440992.68)+836400+7000000)+189574</f>
        <v>49466966.68</v>
      </c>
      <c r="L155" s="249"/>
      <c r="M155" s="249"/>
      <c r="N155" s="249"/>
      <c r="O155" s="266">
        <f t="shared" si="71"/>
        <v>49466966.68</v>
      </c>
      <c r="P155" s="453">
        <f>E155+J155</f>
        <v>49466966.68</v>
      </c>
      <c r="Q155" s="157"/>
    </row>
    <row r="156" spans="1:18" ht="409.5" x14ac:dyDescent="0.2">
      <c r="A156" s="476" t="s">
        <v>724</v>
      </c>
      <c r="B156" s="476" t="s">
        <v>525</v>
      </c>
      <c r="C156" s="476" t="s">
        <v>250</v>
      </c>
      <c r="D156" s="267" t="s">
        <v>536</v>
      </c>
      <c r="E156" s="486">
        <f t="shared" si="73"/>
        <v>0</v>
      </c>
      <c r="F156" s="482"/>
      <c r="G156" s="482"/>
      <c r="H156" s="482"/>
      <c r="I156" s="482"/>
      <c r="J156" s="488">
        <f t="shared" si="70"/>
        <v>1001137</v>
      </c>
      <c r="K156" s="482"/>
      <c r="L156" s="482">
        <f>(1424137)-423000</f>
        <v>1001137</v>
      </c>
      <c r="M156" s="482"/>
      <c r="N156" s="482"/>
      <c r="O156" s="493">
        <f>K156+0</f>
        <v>0</v>
      </c>
      <c r="P156" s="486">
        <f>E156+J156</f>
        <v>1001137</v>
      </c>
      <c r="Q156" s="217">
        <f>P156</f>
        <v>1001137</v>
      </c>
    </row>
    <row r="157" spans="1:18" ht="137.25" x14ac:dyDescent="0.65">
      <c r="A157" s="513"/>
      <c r="B157" s="513"/>
      <c r="C157" s="513"/>
      <c r="D157" s="268" t="s">
        <v>537</v>
      </c>
      <c r="E157" s="512"/>
      <c r="F157" s="496"/>
      <c r="G157" s="496"/>
      <c r="H157" s="496"/>
      <c r="I157" s="496"/>
      <c r="J157" s="497"/>
      <c r="K157" s="496"/>
      <c r="L157" s="496"/>
      <c r="M157" s="496"/>
      <c r="N157" s="496"/>
      <c r="O157" s="508"/>
      <c r="P157" s="512"/>
      <c r="Q157" s="157"/>
    </row>
    <row r="158" spans="1:18" ht="91.5" x14ac:dyDescent="0.2">
      <c r="A158" s="454" t="s">
        <v>379</v>
      </c>
      <c r="B158" s="454" t="s">
        <v>380</v>
      </c>
      <c r="C158" s="454" t="s">
        <v>381</v>
      </c>
      <c r="D158" s="454" t="s">
        <v>378</v>
      </c>
      <c r="E158" s="257">
        <f t="shared" si="73"/>
        <v>1278010</v>
      </c>
      <c r="F158" s="249">
        <f>(1250990)+27020</f>
        <v>1278010</v>
      </c>
      <c r="G158" s="249">
        <f>(843750+143550)+31848</f>
        <v>1019148</v>
      </c>
      <c r="H158" s="249">
        <v>12600</v>
      </c>
      <c r="I158" s="249"/>
      <c r="J158" s="453">
        <f>L158+O158</f>
        <v>0</v>
      </c>
      <c r="K158" s="311"/>
      <c r="L158" s="249"/>
      <c r="M158" s="249"/>
      <c r="N158" s="249"/>
      <c r="O158" s="266">
        <f>K158</f>
        <v>0</v>
      </c>
      <c r="P158" s="453">
        <f>E158+J158</f>
        <v>1278010</v>
      </c>
    </row>
    <row r="159" spans="1:18" ht="270" x14ac:dyDescent="0.2">
      <c r="A159" s="327" t="s">
        <v>44</v>
      </c>
      <c r="B159" s="327"/>
      <c r="C159" s="327"/>
      <c r="D159" s="328" t="s">
        <v>619</v>
      </c>
      <c r="E159" s="329">
        <f>E160</f>
        <v>2423910</v>
      </c>
      <c r="F159" s="329">
        <f t="shared" ref="F159:G159" si="75">F160</f>
        <v>2423910</v>
      </c>
      <c r="G159" s="329">
        <f t="shared" si="75"/>
        <v>1821300</v>
      </c>
      <c r="H159" s="329">
        <f>H160</f>
        <v>52410</v>
      </c>
      <c r="I159" s="329">
        <f t="shared" ref="I159" si="76">I160</f>
        <v>0</v>
      </c>
      <c r="J159" s="329">
        <f>J160</f>
        <v>114848560</v>
      </c>
      <c r="K159" s="329">
        <f>K160</f>
        <v>114848560</v>
      </c>
      <c r="L159" s="329">
        <f>L160</f>
        <v>0</v>
      </c>
      <c r="M159" s="329">
        <f t="shared" ref="M159" si="77">M160</f>
        <v>0</v>
      </c>
      <c r="N159" s="329">
        <f>N160</f>
        <v>0</v>
      </c>
      <c r="O159" s="329">
        <f>O160</f>
        <v>114848560</v>
      </c>
      <c r="P159" s="329">
        <f t="shared" ref="P159" si="78">P160</f>
        <v>117272470</v>
      </c>
    </row>
    <row r="160" spans="1:18" ht="270" x14ac:dyDescent="0.2">
      <c r="A160" s="324" t="s">
        <v>45</v>
      </c>
      <c r="B160" s="324"/>
      <c r="C160" s="324"/>
      <c r="D160" s="325" t="s">
        <v>618</v>
      </c>
      <c r="E160" s="326">
        <f>SUM(E161:E167)</f>
        <v>2423910</v>
      </c>
      <c r="F160" s="326">
        <f t="shared" ref="F160:O160" si="79">SUM(F161:F167)</f>
        <v>2423910</v>
      </c>
      <c r="G160" s="326">
        <f t="shared" si="79"/>
        <v>1821300</v>
      </c>
      <c r="H160" s="326">
        <f t="shared" si="79"/>
        <v>52410</v>
      </c>
      <c r="I160" s="326">
        <f t="shared" si="79"/>
        <v>0</v>
      </c>
      <c r="J160" s="326">
        <f t="shared" ref="J160:J167" si="80">L160+O160</f>
        <v>114848560</v>
      </c>
      <c r="K160" s="326">
        <f t="shared" si="79"/>
        <v>114848560</v>
      </c>
      <c r="L160" s="326">
        <f t="shared" si="79"/>
        <v>0</v>
      </c>
      <c r="M160" s="326">
        <f t="shared" si="79"/>
        <v>0</v>
      </c>
      <c r="N160" s="326">
        <f t="shared" si="79"/>
        <v>0</v>
      </c>
      <c r="O160" s="326">
        <f t="shared" si="79"/>
        <v>114848560</v>
      </c>
      <c r="P160" s="326">
        <f t="shared" ref="P160:P167" si="81">E160+J160</f>
        <v>117272470</v>
      </c>
      <c r="Q160" s="146" t="b">
        <f>P160=P164+P165+P166+P161+P162+P167+P163</f>
        <v>1</v>
      </c>
      <c r="R160" s="452" t="b">
        <f>K160='d5'!I157</f>
        <v>1</v>
      </c>
    </row>
    <row r="161" spans="1:18" ht="228.75" x14ac:dyDescent="0.2">
      <c r="A161" s="454" t="s">
        <v>713</v>
      </c>
      <c r="B161" s="454" t="s">
        <v>335</v>
      </c>
      <c r="C161" s="454" t="s">
        <v>333</v>
      </c>
      <c r="D161" s="454" t="s">
        <v>334</v>
      </c>
      <c r="E161" s="453">
        <f>F161</f>
        <v>2423910</v>
      </c>
      <c r="F161" s="311">
        <f>(((2696500)-289700+55000)+95000+16000-16000-43760)-89130</f>
        <v>2423910</v>
      </c>
      <c r="G161" s="311">
        <f>((1776300)+95000)-50000</f>
        <v>1821300</v>
      </c>
      <c r="H161" s="311">
        <f>((100000)-43760)-300+1470-5000</f>
        <v>52410</v>
      </c>
      <c r="I161" s="311"/>
      <c r="J161" s="453">
        <f t="shared" si="80"/>
        <v>14060</v>
      </c>
      <c r="K161" s="311">
        <f>((10400)+7480)-3820</f>
        <v>14060</v>
      </c>
      <c r="L161" s="311"/>
      <c r="M161" s="311"/>
      <c r="N161" s="311"/>
      <c r="O161" s="266">
        <f>K161</f>
        <v>14060</v>
      </c>
      <c r="P161" s="453">
        <f t="shared" si="81"/>
        <v>2437970</v>
      </c>
      <c r="Q161" s="146"/>
      <c r="R161" s="452" t="b">
        <f>K161='d5'!I158</f>
        <v>1</v>
      </c>
    </row>
    <row r="162" spans="1:18" ht="91.5" x14ac:dyDescent="0.2">
      <c r="A162" s="454" t="s">
        <v>804</v>
      </c>
      <c r="B162" s="454" t="s">
        <v>71</v>
      </c>
      <c r="C162" s="454" t="s">
        <v>70</v>
      </c>
      <c r="D162" s="454" t="s">
        <v>348</v>
      </c>
      <c r="E162" s="453">
        <f>F162</f>
        <v>0</v>
      </c>
      <c r="F162" s="311">
        <f>((289700+266000)-140000-19850)-395850</f>
        <v>0</v>
      </c>
      <c r="G162" s="311"/>
      <c r="H162" s="311"/>
      <c r="I162" s="311"/>
      <c r="J162" s="453">
        <f t="shared" si="80"/>
        <v>0</v>
      </c>
      <c r="K162" s="311"/>
      <c r="L162" s="311"/>
      <c r="M162" s="311"/>
      <c r="N162" s="311"/>
      <c r="O162" s="266">
        <f t="shared" ref="O162:O163" si="82">K162</f>
        <v>0</v>
      </c>
      <c r="P162" s="453">
        <f t="shared" si="81"/>
        <v>0</v>
      </c>
      <c r="Q162" s="146"/>
      <c r="R162" s="452"/>
    </row>
    <row r="163" spans="1:18" ht="274.5" x14ac:dyDescent="0.2">
      <c r="A163" s="454" t="s">
        <v>808</v>
      </c>
      <c r="B163" s="454" t="s">
        <v>810</v>
      </c>
      <c r="C163" s="454" t="s">
        <v>285</v>
      </c>
      <c r="D163" s="454" t="s">
        <v>809</v>
      </c>
      <c r="E163" s="453">
        <f t="shared" ref="E163:E165" si="83">F163</f>
        <v>0</v>
      </c>
      <c r="F163" s="311"/>
      <c r="G163" s="311"/>
      <c r="H163" s="311"/>
      <c r="I163" s="311"/>
      <c r="J163" s="453">
        <f t="shared" si="80"/>
        <v>46287000</v>
      </c>
      <c r="K163" s="311">
        <f>((55287000)-12500000)+3500000</f>
        <v>46287000</v>
      </c>
      <c r="L163" s="311"/>
      <c r="M163" s="311"/>
      <c r="N163" s="311"/>
      <c r="O163" s="266">
        <f t="shared" si="82"/>
        <v>46287000</v>
      </c>
      <c r="P163" s="453">
        <f t="shared" si="81"/>
        <v>46287000</v>
      </c>
      <c r="Q163" s="146"/>
      <c r="R163" s="452"/>
    </row>
    <row r="164" spans="1:18" ht="91.5" x14ac:dyDescent="0.2">
      <c r="A164" s="454" t="s">
        <v>463</v>
      </c>
      <c r="B164" s="454" t="s">
        <v>464</v>
      </c>
      <c r="C164" s="454" t="s">
        <v>444</v>
      </c>
      <c r="D164" s="454" t="s">
        <v>462</v>
      </c>
      <c r="E164" s="453">
        <f t="shared" si="83"/>
        <v>0</v>
      </c>
      <c r="F164" s="311"/>
      <c r="G164" s="311"/>
      <c r="H164" s="311"/>
      <c r="I164" s="311"/>
      <c r="J164" s="453">
        <f t="shared" si="80"/>
        <v>25880000</v>
      </c>
      <c r="K164" s="311">
        <f>((19400000)+4500000)+1980000</f>
        <v>25880000</v>
      </c>
      <c r="L164" s="311"/>
      <c r="M164" s="311"/>
      <c r="N164" s="311"/>
      <c r="O164" s="266">
        <f>K164</f>
        <v>25880000</v>
      </c>
      <c r="P164" s="453">
        <f t="shared" si="81"/>
        <v>25880000</v>
      </c>
    </row>
    <row r="165" spans="1:18" ht="137.25" x14ac:dyDescent="0.2">
      <c r="A165" s="454" t="s">
        <v>465</v>
      </c>
      <c r="B165" s="454" t="s">
        <v>466</v>
      </c>
      <c r="C165" s="454" t="s">
        <v>444</v>
      </c>
      <c r="D165" s="454" t="s">
        <v>467</v>
      </c>
      <c r="E165" s="453">
        <f t="shared" si="83"/>
        <v>0</v>
      </c>
      <c r="F165" s="311"/>
      <c r="G165" s="311"/>
      <c r="H165" s="311"/>
      <c r="I165" s="311"/>
      <c r="J165" s="453">
        <f t="shared" si="80"/>
        <v>500000</v>
      </c>
      <c r="K165" s="311">
        <f>(((4500000+1400000-4500000)-900000)+450000)-450000</f>
        <v>500000</v>
      </c>
      <c r="L165" s="311"/>
      <c r="M165" s="311"/>
      <c r="N165" s="311"/>
      <c r="O165" s="266">
        <f>K165</f>
        <v>500000</v>
      </c>
      <c r="P165" s="453">
        <f t="shared" si="81"/>
        <v>500000</v>
      </c>
    </row>
    <row r="166" spans="1:18" ht="91.5" x14ac:dyDescent="0.2">
      <c r="A166" s="454" t="s">
        <v>468</v>
      </c>
      <c r="B166" s="454" t="s">
        <v>469</v>
      </c>
      <c r="C166" s="454" t="s">
        <v>444</v>
      </c>
      <c r="D166" s="454" t="s">
        <v>815</v>
      </c>
      <c r="E166" s="453">
        <f>F166</f>
        <v>0</v>
      </c>
      <c r="F166" s="311"/>
      <c r="G166" s="311"/>
      <c r="H166" s="311"/>
      <c r="I166" s="311"/>
      <c r="J166" s="453">
        <f t="shared" si="80"/>
        <v>14967500</v>
      </c>
      <c r="K166" s="311">
        <f>(((11500000+1666200)-2000000)+6050000)-248700-2000000</f>
        <v>14967500</v>
      </c>
      <c r="L166" s="311"/>
      <c r="M166" s="311"/>
      <c r="N166" s="311"/>
      <c r="O166" s="266">
        <f>K166</f>
        <v>14967500</v>
      </c>
      <c r="P166" s="453">
        <f t="shared" si="81"/>
        <v>14967500</v>
      </c>
    </row>
    <row r="167" spans="1:18" ht="137.25" x14ac:dyDescent="0.2">
      <c r="A167" s="454" t="s">
        <v>903</v>
      </c>
      <c r="B167" s="454" t="s">
        <v>559</v>
      </c>
      <c r="C167" s="454" t="s">
        <v>250</v>
      </c>
      <c r="D167" s="454" t="s">
        <v>392</v>
      </c>
      <c r="E167" s="453">
        <f>F167</f>
        <v>0</v>
      </c>
      <c r="F167" s="311"/>
      <c r="G167" s="311"/>
      <c r="H167" s="311"/>
      <c r="I167" s="311"/>
      <c r="J167" s="453">
        <f t="shared" si="80"/>
        <v>27200000</v>
      </c>
      <c r="K167" s="311">
        <f>(25700000)+1500000</f>
        <v>27200000</v>
      </c>
      <c r="L167" s="311"/>
      <c r="M167" s="311"/>
      <c r="N167" s="311"/>
      <c r="O167" s="266">
        <f>K167</f>
        <v>27200000</v>
      </c>
      <c r="P167" s="453">
        <f t="shared" si="81"/>
        <v>27200000</v>
      </c>
    </row>
    <row r="168" spans="1:18" ht="225" x14ac:dyDescent="0.2">
      <c r="A168" s="327" t="s">
        <v>240</v>
      </c>
      <c r="B168" s="327"/>
      <c r="C168" s="327"/>
      <c r="D168" s="328" t="s">
        <v>46</v>
      </c>
      <c r="E168" s="329">
        <f>E169</f>
        <v>3707080</v>
      </c>
      <c r="F168" s="329">
        <f t="shared" ref="F168:G168" si="84">F169</f>
        <v>3707080</v>
      </c>
      <c r="G168" s="329">
        <f t="shared" si="84"/>
        <v>2516480</v>
      </c>
      <c r="H168" s="329">
        <f>H169</f>
        <v>107000</v>
      </c>
      <c r="I168" s="329">
        <f t="shared" ref="I168" si="85">I169</f>
        <v>0</v>
      </c>
      <c r="J168" s="329">
        <f>J169</f>
        <v>108400</v>
      </c>
      <c r="K168" s="329">
        <f>K169</f>
        <v>108400</v>
      </c>
      <c r="L168" s="329">
        <f>L169</f>
        <v>0</v>
      </c>
      <c r="M168" s="329">
        <f t="shared" ref="M168" si="86">M169</f>
        <v>0</v>
      </c>
      <c r="N168" s="329">
        <f>N169</f>
        <v>0</v>
      </c>
      <c r="O168" s="329">
        <f>O169</f>
        <v>108400</v>
      </c>
      <c r="P168" s="329">
        <f t="shared" ref="P168" si="87">P169</f>
        <v>3815480</v>
      </c>
    </row>
    <row r="169" spans="1:18" ht="225" x14ac:dyDescent="0.2">
      <c r="A169" s="324" t="s">
        <v>241</v>
      </c>
      <c r="B169" s="324"/>
      <c r="C169" s="324"/>
      <c r="D169" s="325" t="s">
        <v>64</v>
      </c>
      <c r="E169" s="326">
        <f>SUM(E170:E172)</f>
        <v>3707080</v>
      </c>
      <c r="F169" s="326">
        <f t="shared" ref="F169:O169" si="88">SUM(F170:F172)</f>
        <v>3707080</v>
      </c>
      <c r="G169" s="326">
        <f t="shared" si="88"/>
        <v>2516480</v>
      </c>
      <c r="H169" s="326">
        <f t="shared" si="88"/>
        <v>107000</v>
      </c>
      <c r="I169" s="326">
        <f t="shared" si="88"/>
        <v>0</v>
      </c>
      <c r="J169" s="326">
        <f>L169+O169</f>
        <v>108400</v>
      </c>
      <c r="K169" s="326">
        <f t="shared" si="88"/>
        <v>108400</v>
      </c>
      <c r="L169" s="326">
        <f t="shared" si="88"/>
        <v>0</v>
      </c>
      <c r="M169" s="326">
        <f t="shared" si="88"/>
        <v>0</v>
      </c>
      <c r="N169" s="326">
        <f t="shared" si="88"/>
        <v>0</v>
      </c>
      <c r="O169" s="326">
        <f t="shared" si="88"/>
        <v>108400</v>
      </c>
      <c r="P169" s="326">
        <f>E169+J169</f>
        <v>3815480</v>
      </c>
      <c r="Q169" s="146" t="b">
        <f>P169=P172+P170+P171</f>
        <v>1</v>
      </c>
      <c r="R169" s="452" t="b">
        <f>K169='d5'!I180</f>
        <v>1</v>
      </c>
    </row>
    <row r="170" spans="1:18" ht="228.75" x14ac:dyDescent="0.2">
      <c r="A170" s="454" t="s">
        <v>715</v>
      </c>
      <c r="B170" s="454" t="s">
        <v>335</v>
      </c>
      <c r="C170" s="454" t="s">
        <v>333</v>
      </c>
      <c r="D170" s="454" t="s">
        <v>334</v>
      </c>
      <c r="E170" s="453">
        <f>F170</f>
        <v>3508480</v>
      </c>
      <c r="F170" s="311">
        <f>(((3880500)+55000)-46920+27400)-407500</f>
        <v>3508480</v>
      </c>
      <c r="G170" s="311">
        <f>((2850700)-46920)-287300</f>
        <v>2516480</v>
      </c>
      <c r="H170" s="311">
        <v>107000</v>
      </c>
      <c r="I170" s="311"/>
      <c r="J170" s="453">
        <f>L170+O170</f>
        <v>38400</v>
      </c>
      <c r="K170" s="311">
        <f>(26500)-3700+15600</f>
        <v>38400</v>
      </c>
      <c r="L170" s="311"/>
      <c r="M170" s="311"/>
      <c r="N170" s="311"/>
      <c r="O170" s="266">
        <f>K170</f>
        <v>38400</v>
      </c>
      <c r="P170" s="453">
        <f>E170+J170</f>
        <v>3546880</v>
      </c>
      <c r="Q170" s="146"/>
      <c r="R170" s="452" t="b">
        <f>K170='d5'!I183</f>
        <v>1</v>
      </c>
    </row>
    <row r="171" spans="1:18" ht="91.5" x14ac:dyDescent="0.2">
      <c r="A171" s="454" t="s">
        <v>946</v>
      </c>
      <c r="B171" s="454" t="s">
        <v>71</v>
      </c>
      <c r="C171" s="454" t="s">
        <v>70</v>
      </c>
      <c r="D171" s="454" t="s">
        <v>348</v>
      </c>
      <c r="E171" s="453">
        <f t="shared" ref="E171" si="89">F171</f>
        <v>198600</v>
      </c>
      <c r="F171" s="311">
        <v>198600</v>
      </c>
      <c r="G171" s="311"/>
      <c r="H171" s="311"/>
      <c r="I171" s="311"/>
      <c r="J171" s="453">
        <f t="shared" ref="J171" si="90">L171+O171</f>
        <v>0</v>
      </c>
      <c r="K171" s="311"/>
      <c r="L171" s="311"/>
      <c r="M171" s="311"/>
      <c r="N171" s="311"/>
      <c r="O171" s="266">
        <f>K171</f>
        <v>0</v>
      </c>
      <c r="P171" s="453">
        <f>E171+J171</f>
        <v>198600</v>
      </c>
      <c r="Q171" s="345"/>
      <c r="R171" s="452"/>
    </row>
    <row r="172" spans="1:18" ht="137.25" x14ac:dyDescent="0.2">
      <c r="A172" s="454" t="s">
        <v>454</v>
      </c>
      <c r="B172" s="454" t="s">
        <v>455</v>
      </c>
      <c r="C172" s="454" t="s">
        <v>444</v>
      </c>
      <c r="D172" s="454" t="s">
        <v>456</v>
      </c>
      <c r="E172" s="453">
        <f>F172</f>
        <v>0</v>
      </c>
      <c r="F172" s="311">
        <v>0</v>
      </c>
      <c r="G172" s="311"/>
      <c r="H172" s="311"/>
      <c r="I172" s="311"/>
      <c r="J172" s="453">
        <f>L172+O172</f>
        <v>70000</v>
      </c>
      <c r="K172" s="311">
        <f>((2000000)-1500000)-500000+70000</f>
        <v>70000</v>
      </c>
      <c r="L172" s="311"/>
      <c r="M172" s="311"/>
      <c r="N172" s="311"/>
      <c r="O172" s="266">
        <f>K172</f>
        <v>70000</v>
      </c>
      <c r="P172" s="453">
        <f>E172+J172</f>
        <v>70000</v>
      </c>
      <c r="Q172" s="346" t="s">
        <v>982</v>
      </c>
    </row>
    <row r="173" spans="1:18" ht="135" x14ac:dyDescent="0.2">
      <c r="A173" s="327" t="s">
        <v>246</v>
      </c>
      <c r="B173" s="327"/>
      <c r="C173" s="327"/>
      <c r="D173" s="328" t="s">
        <v>563</v>
      </c>
      <c r="E173" s="329">
        <f>E174</f>
        <v>7200430.4800000004</v>
      </c>
      <c r="F173" s="329">
        <f t="shared" ref="F173:G173" si="91">F174</f>
        <v>7200430.4800000004</v>
      </c>
      <c r="G173" s="329">
        <f t="shared" si="91"/>
        <v>0</v>
      </c>
      <c r="H173" s="329">
        <f>H174</f>
        <v>0</v>
      </c>
      <c r="I173" s="329">
        <f t="shared" ref="I173" si="92">I174</f>
        <v>0</v>
      </c>
      <c r="J173" s="329">
        <f>J174</f>
        <v>2354114.52</v>
      </c>
      <c r="K173" s="329">
        <f>K174</f>
        <v>2354114.52</v>
      </c>
      <c r="L173" s="329">
        <f>L174</f>
        <v>0</v>
      </c>
      <c r="M173" s="329">
        <f t="shared" ref="M173" si="93">M174</f>
        <v>0</v>
      </c>
      <c r="N173" s="329">
        <f>N174</f>
        <v>0</v>
      </c>
      <c r="O173" s="329">
        <f>O174</f>
        <v>2354114.52</v>
      </c>
      <c r="P173" s="329">
        <f t="shared" ref="P173" si="94">P174</f>
        <v>9554545</v>
      </c>
    </row>
    <row r="174" spans="1:18" ht="135" x14ac:dyDescent="0.2">
      <c r="A174" s="324" t="s">
        <v>247</v>
      </c>
      <c r="B174" s="324"/>
      <c r="C174" s="324"/>
      <c r="D174" s="325" t="s">
        <v>564</v>
      </c>
      <c r="E174" s="326">
        <f>SUM(E175:E179)</f>
        <v>7200430.4800000004</v>
      </c>
      <c r="F174" s="326">
        <f t="shared" ref="F174:O174" si="95">SUM(F175:F179)</f>
        <v>7200430.4800000004</v>
      </c>
      <c r="G174" s="326">
        <f t="shared" si="95"/>
        <v>0</v>
      </c>
      <c r="H174" s="326">
        <f t="shared" si="95"/>
        <v>0</v>
      </c>
      <c r="I174" s="326">
        <f t="shared" si="95"/>
        <v>0</v>
      </c>
      <c r="J174" s="326">
        <f t="shared" ref="J174:J179" si="96">L174+O174</f>
        <v>2354114.52</v>
      </c>
      <c r="K174" s="326">
        <f t="shared" si="95"/>
        <v>2354114.52</v>
      </c>
      <c r="L174" s="326">
        <f t="shared" si="95"/>
        <v>0</v>
      </c>
      <c r="M174" s="326">
        <f t="shared" si="95"/>
        <v>0</v>
      </c>
      <c r="N174" s="326">
        <f t="shared" si="95"/>
        <v>0</v>
      </c>
      <c r="O174" s="326">
        <f t="shared" si="95"/>
        <v>2354114.52</v>
      </c>
      <c r="P174" s="326">
        <f t="shared" ref="P174:P179" si="97">E174+J174</f>
        <v>9554545</v>
      </c>
      <c r="Q174" s="146" t="b">
        <f>P174=P175+P176+P177+P178+P179</f>
        <v>1</v>
      </c>
      <c r="R174" s="452" t="b">
        <f>K174='d5'!I187</f>
        <v>1</v>
      </c>
    </row>
    <row r="175" spans="1:18" ht="137.25" hidden="1" x14ac:dyDescent="0.2">
      <c r="A175" s="251" t="s">
        <v>558</v>
      </c>
      <c r="B175" s="251" t="s">
        <v>559</v>
      </c>
      <c r="C175" s="251" t="s">
        <v>250</v>
      </c>
      <c r="D175" s="251" t="s">
        <v>392</v>
      </c>
      <c r="E175" s="318">
        <f>F175</f>
        <v>0</v>
      </c>
      <c r="F175" s="316"/>
      <c r="G175" s="316"/>
      <c r="H175" s="316"/>
      <c r="I175" s="316"/>
      <c r="J175" s="318">
        <f t="shared" si="96"/>
        <v>0</v>
      </c>
      <c r="K175" s="316">
        <f>(2000000)-2000000</f>
        <v>0</v>
      </c>
      <c r="L175" s="316"/>
      <c r="M175" s="316"/>
      <c r="N175" s="316"/>
      <c r="O175" s="323">
        <f>K175</f>
        <v>0</v>
      </c>
      <c r="P175" s="318">
        <f t="shared" si="97"/>
        <v>0</v>
      </c>
      <c r="R175" s="452"/>
    </row>
    <row r="176" spans="1:18" ht="91.5" x14ac:dyDescent="0.2">
      <c r="A176" s="454" t="s">
        <v>390</v>
      </c>
      <c r="B176" s="454" t="s">
        <v>391</v>
      </c>
      <c r="C176" s="454" t="s">
        <v>389</v>
      </c>
      <c r="D176" s="454" t="s">
        <v>388</v>
      </c>
      <c r="E176" s="453">
        <f t="shared" ref="E176:E179" si="98">F176</f>
        <v>4394349.4800000004</v>
      </c>
      <c r="F176" s="311">
        <f>(((2656650)+828350-240000+40000)-37350.52-100000)+1146700+100000</f>
        <v>4394349.4800000004</v>
      </c>
      <c r="G176" s="311"/>
      <c r="H176" s="311"/>
      <c r="I176" s="311"/>
      <c r="J176" s="453">
        <f t="shared" si="96"/>
        <v>870000</v>
      </c>
      <c r="K176" s="311">
        <f>(((570000)+200000)+100000)</f>
        <v>870000</v>
      </c>
      <c r="L176" s="311"/>
      <c r="M176" s="311"/>
      <c r="N176" s="311"/>
      <c r="O176" s="266">
        <f>K176</f>
        <v>870000</v>
      </c>
      <c r="P176" s="453">
        <f t="shared" si="97"/>
        <v>5264349.4800000004</v>
      </c>
      <c r="R176" s="452" t="b">
        <f>K176='d5'!I189</f>
        <v>1</v>
      </c>
    </row>
    <row r="177" spans="1:18" ht="137.25" x14ac:dyDescent="0.2">
      <c r="A177" s="454" t="s">
        <v>382</v>
      </c>
      <c r="B177" s="454" t="s">
        <v>384</v>
      </c>
      <c r="C177" s="454" t="s">
        <v>312</v>
      </c>
      <c r="D177" s="454" t="s">
        <v>383</v>
      </c>
      <c r="E177" s="453">
        <f t="shared" si="98"/>
        <v>320000</v>
      </c>
      <c r="F177" s="311">
        <f>(420000)-100000</f>
        <v>320000</v>
      </c>
      <c r="G177" s="311"/>
      <c r="H177" s="311"/>
      <c r="I177" s="311"/>
      <c r="J177" s="453">
        <f t="shared" si="96"/>
        <v>0</v>
      </c>
      <c r="K177" s="311"/>
      <c r="L177" s="311"/>
      <c r="M177" s="311"/>
      <c r="N177" s="311"/>
      <c r="O177" s="266">
        <f>K177</f>
        <v>0</v>
      </c>
      <c r="P177" s="453">
        <f t="shared" si="97"/>
        <v>320000</v>
      </c>
      <c r="R177" s="452"/>
    </row>
    <row r="178" spans="1:18" ht="91.5" x14ac:dyDescent="0.2">
      <c r="A178" s="454" t="s">
        <v>386</v>
      </c>
      <c r="B178" s="454" t="s">
        <v>387</v>
      </c>
      <c r="C178" s="454" t="s">
        <v>250</v>
      </c>
      <c r="D178" s="454" t="s">
        <v>385</v>
      </c>
      <c r="E178" s="453">
        <f t="shared" si="98"/>
        <v>2486081</v>
      </c>
      <c r="F178" s="311">
        <f>(((1794000)+800000-100000)+37350.52-129155)+46885.48+37000</f>
        <v>2486081</v>
      </c>
      <c r="G178" s="311"/>
      <c r="H178" s="311"/>
      <c r="I178" s="311"/>
      <c r="J178" s="453">
        <f t="shared" si="96"/>
        <v>184114.52</v>
      </c>
      <c r="K178" s="311">
        <f>(200000+1000000-1000000)-46885.48+31000</f>
        <v>184114.52</v>
      </c>
      <c r="L178" s="311"/>
      <c r="M178" s="311"/>
      <c r="N178" s="311"/>
      <c r="O178" s="266">
        <f>K178</f>
        <v>184114.52</v>
      </c>
      <c r="P178" s="453">
        <f t="shared" si="97"/>
        <v>2670195.52</v>
      </c>
      <c r="R178" s="452" t="b">
        <f>K178='d5'!I190</f>
        <v>1</v>
      </c>
    </row>
    <row r="179" spans="1:18" ht="91.5" x14ac:dyDescent="0.2">
      <c r="A179" s="454" t="s">
        <v>886</v>
      </c>
      <c r="B179" s="454" t="s">
        <v>587</v>
      </c>
      <c r="C179" s="454" t="s">
        <v>71</v>
      </c>
      <c r="D179" s="454" t="s">
        <v>588</v>
      </c>
      <c r="E179" s="453">
        <f t="shared" si="98"/>
        <v>0</v>
      </c>
      <c r="F179" s="311"/>
      <c r="G179" s="311"/>
      <c r="H179" s="311"/>
      <c r="I179" s="311"/>
      <c r="J179" s="453">
        <f t="shared" si="96"/>
        <v>1300000</v>
      </c>
      <c r="K179" s="311">
        <f>500000+1000000-1000000+800000</f>
        <v>1300000</v>
      </c>
      <c r="L179" s="311"/>
      <c r="M179" s="311"/>
      <c r="N179" s="311"/>
      <c r="O179" s="266">
        <f>K179</f>
        <v>1300000</v>
      </c>
      <c r="P179" s="453">
        <f t="shared" si="97"/>
        <v>1300000</v>
      </c>
      <c r="R179" s="452" t="b">
        <f>K179='d5'!I192+'d5'!I191</f>
        <v>1</v>
      </c>
    </row>
    <row r="180" spans="1:18" ht="135" x14ac:dyDescent="0.2">
      <c r="A180" s="327" t="s">
        <v>244</v>
      </c>
      <c r="B180" s="327"/>
      <c r="C180" s="327"/>
      <c r="D180" s="328" t="s">
        <v>47</v>
      </c>
      <c r="E180" s="329">
        <f>E181</f>
        <v>4349600</v>
      </c>
      <c r="F180" s="329">
        <f t="shared" ref="F180:G180" si="99">F181</f>
        <v>4349600</v>
      </c>
      <c r="G180" s="329">
        <f t="shared" si="99"/>
        <v>3303000</v>
      </c>
      <c r="H180" s="329">
        <f>H181</f>
        <v>74916</v>
      </c>
      <c r="I180" s="329">
        <f t="shared" ref="I180" si="100">I181</f>
        <v>0</v>
      </c>
      <c r="J180" s="329">
        <f>J181</f>
        <v>990905.96</v>
      </c>
      <c r="K180" s="329">
        <f>K181</f>
        <v>0</v>
      </c>
      <c r="L180" s="329">
        <f>L181</f>
        <v>271705.95999999996</v>
      </c>
      <c r="M180" s="329">
        <f t="shared" ref="M180" si="101">M181</f>
        <v>0</v>
      </c>
      <c r="N180" s="329">
        <f>N181</f>
        <v>0</v>
      </c>
      <c r="O180" s="329">
        <f>O181</f>
        <v>719200</v>
      </c>
      <c r="P180" s="329">
        <f t="shared" ref="P180" si="102">P181</f>
        <v>5340505.96</v>
      </c>
    </row>
    <row r="181" spans="1:18" ht="135" x14ac:dyDescent="0.2">
      <c r="A181" s="324" t="s">
        <v>245</v>
      </c>
      <c r="B181" s="324"/>
      <c r="C181" s="324"/>
      <c r="D181" s="325" t="s">
        <v>65</v>
      </c>
      <c r="E181" s="326">
        <f t="shared" ref="E181:N181" si="103">SUM(E182:E186)</f>
        <v>4349600</v>
      </c>
      <c r="F181" s="326">
        <f t="shared" si="103"/>
        <v>4349600</v>
      </c>
      <c r="G181" s="326">
        <f t="shared" si="103"/>
        <v>3303000</v>
      </c>
      <c r="H181" s="326">
        <f t="shared" si="103"/>
        <v>74916</v>
      </c>
      <c r="I181" s="326">
        <f t="shared" si="103"/>
        <v>0</v>
      </c>
      <c r="J181" s="326">
        <f t="shared" ref="J181:J186" si="104">L181+O181</f>
        <v>990905.96</v>
      </c>
      <c r="K181" s="326">
        <f t="shared" si="103"/>
        <v>0</v>
      </c>
      <c r="L181" s="326">
        <f t="shared" si="103"/>
        <v>271705.95999999996</v>
      </c>
      <c r="M181" s="326">
        <f t="shared" si="103"/>
        <v>0</v>
      </c>
      <c r="N181" s="326">
        <f t="shared" si="103"/>
        <v>0</v>
      </c>
      <c r="O181" s="326">
        <f>SUM(O182:O186)</f>
        <v>719200</v>
      </c>
      <c r="P181" s="326">
        <f t="shared" ref="P181:P186" si="105">E181+J181</f>
        <v>5340505.96</v>
      </c>
      <c r="Q181" s="146" t="b">
        <f>P181=P183+P186+P182+P185+P184</f>
        <v>1</v>
      </c>
      <c r="R181" s="452" t="b">
        <f>J181='d7'!F18</f>
        <v>1</v>
      </c>
    </row>
    <row r="182" spans="1:18" ht="228.75" x14ac:dyDescent="0.2">
      <c r="A182" s="454" t="s">
        <v>718</v>
      </c>
      <c r="B182" s="454" t="s">
        <v>335</v>
      </c>
      <c r="C182" s="454" t="s">
        <v>333</v>
      </c>
      <c r="D182" s="454" t="s">
        <v>334</v>
      </c>
      <c r="E182" s="453">
        <f>F182</f>
        <v>4349600</v>
      </c>
      <c r="F182" s="311">
        <f>((4223100)+35000)+91500</f>
        <v>4349600</v>
      </c>
      <c r="G182" s="311">
        <f>(3166500)+136500</f>
        <v>3303000</v>
      </c>
      <c r="H182" s="311">
        <f>(119916)-45000</f>
        <v>74916</v>
      </c>
      <c r="I182" s="311"/>
      <c r="J182" s="453">
        <f t="shared" si="104"/>
        <v>0</v>
      </c>
      <c r="K182" s="311"/>
      <c r="L182" s="311"/>
      <c r="M182" s="311"/>
      <c r="N182" s="311"/>
      <c r="O182" s="266">
        <f>K182</f>
        <v>0</v>
      </c>
      <c r="P182" s="453">
        <f t="shared" si="105"/>
        <v>4349600</v>
      </c>
      <c r="Q182" s="146"/>
      <c r="R182" s="452"/>
    </row>
    <row r="183" spans="1:18" ht="91.5" x14ac:dyDescent="0.2">
      <c r="A183" s="454" t="s">
        <v>457</v>
      </c>
      <c r="B183" s="454" t="s">
        <v>458</v>
      </c>
      <c r="C183" s="454" t="s">
        <v>81</v>
      </c>
      <c r="D183" s="454" t="s">
        <v>82</v>
      </c>
      <c r="E183" s="453">
        <f t="shared" ref="E183:E185" si="106">F183</f>
        <v>0</v>
      </c>
      <c r="F183" s="311"/>
      <c r="G183" s="311"/>
      <c r="H183" s="311"/>
      <c r="I183" s="311"/>
      <c r="J183" s="453">
        <f t="shared" si="104"/>
        <v>718616</v>
      </c>
      <c r="K183" s="311"/>
      <c r="L183" s="311">
        <f>((116000)+90000+46216)-116000</f>
        <v>136216</v>
      </c>
      <c r="M183" s="311"/>
      <c r="N183" s="311"/>
      <c r="O183" s="266">
        <f>(K183+284000)+344616-130000+130000-46216</f>
        <v>582400</v>
      </c>
      <c r="P183" s="453">
        <f t="shared" si="105"/>
        <v>718616</v>
      </c>
    </row>
    <row r="184" spans="1:18" ht="70.5" customHeight="1" x14ac:dyDescent="0.2">
      <c r="A184" s="382" t="s">
        <v>994</v>
      </c>
      <c r="B184" s="382" t="s">
        <v>995</v>
      </c>
      <c r="C184" s="383" t="s">
        <v>996</v>
      </c>
      <c r="D184" s="454" t="s">
        <v>998</v>
      </c>
      <c r="E184" s="453">
        <f t="shared" si="106"/>
        <v>0</v>
      </c>
      <c r="F184" s="311"/>
      <c r="G184" s="311"/>
      <c r="H184" s="311"/>
      <c r="I184" s="311"/>
      <c r="J184" s="453">
        <f t="shared" si="104"/>
        <v>136800</v>
      </c>
      <c r="K184" s="311"/>
      <c r="L184" s="311"/>
      <c r="M184" s="311"/>
      <c r="N184" s="311"/>
      <c r="O184" s="266">
        <f>K184+136800</f>
        <v>136800</v>
      </c>
      <c r="P184" s="453">
        <f t="shared" si="105"/>
        <v>136800</v>
      </c>
    </row>
    <row r="185" spans="1:18" ht="91.5" x14ac:dyDescent="0.2">
      <c r="A185" s="454" t="s">
        <v>794</v>
      </c>
      <c r="B185" s="454" t="s">
        <v>795</v>
      </c>
      <c r="C185" s="454" t="s">
        <v>817</v>
      </c>
      <c r="D185" s="454" t="s">
        <v>816</v>
      </c>
      <c r="E185" s="453">
        <f t="shared" si="106"/>
        <v>0</v>
      </c>
      <c r="F185" s="311"/>
      <c r="G185" s="311"/>
      <c r="H185" s="311"/>
      <c r="I185" s="311"/>
      <c r="J185" s="453">
        <f t="shared" si="104"/>
        <v>56289.96</v>
      </c>
      <c r="K185" s="311"/>
      <c r="L185" s="311">
        <v>56289.96</v>
      </c>
      <c r="M185" s="311"/>
      <c r="N185" s="311"/>
      <c r="O185" s="266">
        <f>K185</f>
        <v>0</v>
      </c>
      <c r="P185" s="453">
        <f t="shared" si="105"/>
        <v>56289.96</v>
      </c>
    </row>
    <row r="186" spans="1:18" ht="91.5" x14ac:dyDescent="0.2">
      <c r="A186" s="454" t="s">
        <v>459</v>
      </c>
      <c r="B186" s="454" t="s">
        <v>460</v>
      </c>
      <c r="C186" s="454" t="s">
        <v>83</v>
      </c>
      <c r="D186" s="454" t="s">
        <v>461</v>
      </c>
      <c r="E186" s="453">
        <v>0</v>
      </c>
      <c r="F186" s="311"/>
      <c r="G186" s="311"/>
      <c r="H186" s="311"/>
      <c r="I186" s="311"/>
      <c r="J186" s="453">
        <f t="shared" si="104"/>
        <v>79200</v>
      </c>
      <c r="K186" s="453"/>
      <c r="L186" s="311">
        <f>(100000)-20800</f>
        <v>79200</v>
      </c>
      <c r="M186" s="311"/>
      <c r="N186" s="311"/>
      <c r="O186" s="266">
        <f>K186</f>
        <v>0</v>
      </c>
      <c r="P186" s="453">
        <f t="shared" si="105"/>
        <v>79200</v>
      </c>
    </row>
    <row r="187" spans="1:18" ht="225" x14ac:dyDescent="0.2">
      <c r="A187" s="327" t="s">
        <v>242</v>
      </c>
      <c r="B187" s="327"/>
      <c r="C187" s="327"/>
      <c r="D187" s="328" t="s">
        <v>565</v>
      </c>
      <c r="E187" s="329">
        <f>E188</f>
        <v>2847600</v>
      </c>
      <c r="F187" s="329">
        <f t="shared" ref="F187:G187" si="107">F188</f>
        <v>2847600</v>
      </c>
      <c r="G187" s="329">
        <f t="shared" si="107"/>
        <v>2033400</v>
      </c>
      <c r="H187" s="329">
        <f>H188</f>
        <v>60000</v>
      </c>
      <c r="I187" s="329">
        <f t="shared" ref="I187" si="108">I188</f>
        <v>0</v>
      </c>
      <c r="J187" s="329">
        <f>J188</f>
        <v>326000</v>
      </c>
      <c r="K187" s="329">
        <f>K188</f>
        <v>326000</v>
      </c>
      <c r="L187" s="329">
        <f>L188</f>
        <v>0</v>
      </c>
      <c r="M187" s="329">
        <f t="shared" ref="M187" si="109">M188</f>
        <v>0</v>
      </c>
      <c r="N187" s="329">
        <f>N188</f>
        <v>0</v>
      </c>
      <c r="O187" s="329">
        <f>O188</f>
        <v>326000</v>
      </c>
      <c r="P187" s="329">
        <f t="shared" ref="P187" si="110">P188</f>
        <v>3173600</v>
      </c>
    </row>
    <row r="188" spans="1:18" ht="270" x14ac:dyDescent="0.2">
      <c r="A188" s="324" t="s">
        <v>243</v>
      </c>
      <c r="B188" s="324"/>
      <c r="C188" s="324"/>
      <c r="D188" s="325" t="s">
        <v>566</v>
      </c>
      <c r="E188" s="326">
        <f>SUM(E189:E191)</f>
        <v>2847600</v>
      </c>
      <c r="F188" s="326">
        <f t="shared" ref="F188:N188" si="111">SUM(F189:F191)</f>
        <v>2847600</v>
      </c>
      <c r="G188" s="326">
        <f t="shared" si="111"/>
        <v>2033400</v>
      </c>
      <c r="H188" s="326">
        <f t="shared" si="111"/>
        <v>60000</v>
      </c>
      <c r="I188" s="326">
        <f t="shared" si="111"/>
        <v>0</v>
      </c>
      <c r="J188" s="326">
        <f>L188+O188</f>
        <v>326000</v>
      </c>
      <c r="K188" s="326">
        <f t="shared" si="111"/>
        <v>326000</v>
      </c>
      <c r="L188" s="326">
        <f t="shared" si="111"/>
        <v>0</v>
      </c>
      <c r="M188" s="326">
        <f t="shared" si="111"/>
        <v>0</v>
      </c>
      <c r="N188" s="326">
        <f t="shared" si="111"/>
        <v>0</v>
      </c>
      <c r="O188" s="326">
        <f>SUM(O189:O191)</f>
        <v>326000</v>
      </c>
      <c r="P188" s="326">
        <f>E188+J188</f>
        <v>3173600</v>
      </c>
      <c r="Q188" s="146" t="b">
        <f>P188=P190+P191+P189</f>
        <v>1</v>
      </c>
      <c r="R188" s="452" t="b">
        <f>K188='d5'!I193</f>
        <v>1</v>
      </c>
    </row>
    <row r="189" spans="1:18" ht="228.75" x14ac:dyDescent="0.2">
      <c r="A189" s="454" t="s">
        <v>714</v>
      </c>
      <c r="B189" s="454" t="s">
        <v>335</v>
      </c>
      <c r="C189" s="454" t="s">
        <v>333</v>
      </c>
      <c r="D189" s="454" t="s">
        <v>334</v>
      </c>
      <c r="E189" s="453">
        <f>F189</f>
        <v>2847600</v>
      </c>
      <c r="F189" s="311">
        <f>((3469300)+55000)-676700</f>
        <v>2847600</v>
      </c>
      <c r="G189" s="311">
        <f>(2641000)-607600</f>
        <v>2033400</v>
      </c>
      <c r="H189" s="311">
        <v>60000</v>
      </c>
      <c r="I189" s="311"/>
      <c r="J189" s="453">
        <f>L189+O189</f>
        <v>0</v>
      </c>
      <c r="K189" s="311"/>
      <c r="L189" s="311"/>
      <c r="M189" s="311"/>
      <c r="N189" s="311"/>
      <c r="O189" s="266">
        <f>K189</f>
        <v>0</v>
      </c>
      <c r="P189" s="453">
        <f>E189+J189</f>
        <v>2847600</v>
      </c>
      <c r="Q189" s="146"/>
      <c r="R189" s="452"/>
    </row>
    <row r="190" spans="1:18" ht="91.5" x14ac:dyDescent="0.2">
      <c r="A190" s="454" t="s">
        <v>451</v>
      </c>
      <c r="B190" s="454" t="s">
        <v>452</v>
      </c>
      <c r="C190" s="454" t="s">
        <v>453</v>
      </c>
      <c r="D190" s="454" t="s">
        <v>450</v>
      </c>
      <c r="E190" s="453">
        <f>F190</f>
        <v>0</v>
      </c>
      <c r="F190" s="311">
        <v>0</v>
      </c>
      <c r="G190" s="311"/>
      <c r="H190" s="311"/>
      <c r="I190" s="311"/>
      <c r="J190" s="453">
        <f>L190+O190</f>
        <v>236000</v>
      </c>
      <c r="K190" s="311">
        <f>410000-174000</f>
        <v>236000</v>
      </c>
      <c r="L190" s="311"/>
      <c r="M190" s="311"/>
      <c r="N190" s="311"/>
      <c r="O190" s="266">
        <f>K190</f>
        <v>236000</v>
      </c>
      <c r="P190" s="453">
        <f>E190+J190</f>
        <v>236000</v>
      </c>
      <c r="Q190" s="346" t="s">
        <v>982</v>
      </c>
    </row>
    <row r="191" spans="1:18" ht="137.25" x14ac:dyDescent="0.2">
      <c r="A191" s="454" t="s">
        <v>595</v>
      </c>
      <c r="B191" s="454" t="s">
        <v>596</v>
      </c>
      <c r="C191" s="454" t="s">
        <v>250</v>
      </c>
      <c r="D191" s="454" t="s">
        <v>597</v>
      </c>
      <c r="E191" s="453">
        <f>F191</f>
        <v>0</v>
      </c>
      <c r="F191" s="311">
        <v>0</v>
      </c>
      <c r="G191" s="311"/>
      <c r="H191" s="311"/>
      <c r="I191" s="311"/>
      <c r="J191" s="453">
        <f>L191+O191</f>
        <v>90000</v>
      </c>
      <c r="K191" s="311">
        <v>90000</v>
      </c>
      <c r="L191" s="311"/>
      <c r="M191" s="311"/>
      <c r="N191" s="311"/>
      <c r="O191" s="266">
        <f>K191</f>
        <v>90000</v>
      </c>
      <c r="P191" s="453">
        <f>E191+J191</f>
        <v>90000</v>
      </c>
      <c r="Q191" s="346" t="s">
        <v>982</v>
      </c>
    </row>
    <row r="192" spans="1:18" ht="135" x14ac:dyDescent="0.2">
      <c r="A192" s="327" t="s">
        <v>248</v>
      </c>
      <c r="B192" s="327"/>
      <c r="C192" s="327"/>
      <c r="D192" s="328" t="s">
        <v>48</v>
      </c>
      <c r="E192" s="329">
        <f>E193</f>
        <v>61508353</v>
      </c>
      <c r="F192" s="329">
        <f t="shared" ref="F192:G192" si="112">F193</f>
        <v>61508353</v>
      </c>
      <c r="G192" s="329">
        <f t="shared" si="112"/>
        <v>4759100</v>
      </c>
      <c r="H192" s="329">
        <f>H193</f>
        <v>112897</v>
      </c>
      <c r="I192" s="329">
        <f t="shared" ref="I192" si="113">I193</f>
        <v>0</v>
      </c>
      <c r="J192" s="329">
        <f>J193</f>
        <v>62500</v>
      </c>
      <c r="K192" s="329">
        <f>K193</f>
        <v>62500</v>
      </c>
      <c r="L192" s="329">
        <f>L193</f>
        <v>0</v>
      </c>
      <c r="M192" s="329">
        <f t="shared" ref="M192" si="114">M193</f>
        <v>0</v>
      </c>
      <c r="N192" s="329">
        <f>N193</f>
        <v>0</v>
      </c>
      <c r="O192" s="329">
        <f>O193</f>
        <v>62500</v>
      </c>
      <c r="P192" s="329">
        <f t="shared" ref="P192" si="115">P193</f>
        <v>61570853</v>
      </c>
    </row>
    <row r="193" spans="1:19" ht="135" x14ac:dyDescent="0.2">
      <c r="A193" s="324" t="s">
        <v>249</v>
      </c>
      <c r="B193" s="324"/>
      <c r="C193" s="324"/>
      <c r="D193" s="325" t="s">
        <v>66</v>
      </c>
      <c r="E193" s="326">
        <f>SUM(E194:E197)</f>
        <v>61508353</v>
      </c>
      <c r="F193" s="326">
        <f t="shared" ref="F193:N193" si="116">SUM(F194:F197)</f>
        <v>61508353</v>
      </c>
      <c r="G193" s="326">
        <f t="shared" si="116"/>
        <v>4759100</v>
      </c>
      <c r="H193" s="326">
        <f t="shared" si="116"/>
        <v>112897</v>
      </c>
      <c r="I193" s="326">
        <f t="shared" si="116"/>
        <v>0</v>
      </c>
      <c r="J193" s="326">
        <f>L193+O193</f>
        <v>62500</v>
      </c>
      <c r="K193" s="326">
        <f>SUM(K194:K197)</f>
        <v>62500</v>
      </c>
      <c r="L193" s="326">
        <f t="shared" si="116"/>
        <v>0</v>
      </c>
      <c r="M193" s="326">
        <f t="shared" si="116"/>
        <v>0</v>
      </c>
      <c r="N193" s="326">
        <f t="shared" si="116"/>
        <v>0</v>
      </c>
      <c r="O193" s="326">
        <f>SUM(O194:O197)</f>
        <v>62500</v>
      </c>
      <c r="P193" s="326">
        <f>E193+J193</f>
        <v>61570853</v>
      </c>
      <c r="Q193" s="146" t="b">
        <f>P193=P195+P196+P197+P194</f>
        <v>1</v>
      </c>
      <c r="R193" s="452" t="b">
        <f>K193='d5'!I201</f>
        <v>1</v>
      </c>
    </row>
    <row r="194" spans="1:19" ht="228.75" x14ac:dyDescent="0.2">
      <c r="A194" s="454" t="s">
        <v>716</v>
      </c>
      <c r="B194" s="454" t="s">
        <v>335</v>
      </c>
      <c r="C194" s="454" t="s">
        <v>333</v>
      </c>
      <c r="D194" s="454" t="s">
        <v>334</v>
      </c>
      <c r="E194" s="453">
        <f>F194</f>
        <v>6249335</v>
      </c>
      <c r="F194" s="311">
        <f>(((6887800)+40000)-95000+20000+535)-604000</f>
        <v>6249335</v>
      </c>
      <c r="G194" s="311">
        <f>((5254100)-95000)-400000</f>
        <v>4759100</v>
      </c>
      <c r="H194" s="311">
        <f>((142362)+535)-6000-24000</f>
        <v>112897</v>
      </c>
      <c r="I194" s="311"/>
      <c r="J194" s="453">
        <f>L194+O194</f>
        <v>62500</v>
      </c>
      <c r="K194" s="311">
        <f>(50000)+12500</f>
        <v>62500</v>
      </c>
      <c r="L194" s="311"/>
      <c r="M194" s="311"/>
      <c r="N194" s="311"/>
      <c r="O194" s="266">
        <f>K194</f>
        <v>62500</v>
      </c>
      <c r="P194" s="453">
        <f>E194+J194</f>
        <v>6311835</v>
      </c>
      <c r="Q194" s="146"/>
      <c r="R194" s="452"/>
    </row>
    <row r="195" spans="1:19" ht="46.5" x14ac:dyDescent="0.2">
      <c r="A195" s="250">
        <v>3718600</v>
      </c>
      <c r="B195" s="250">
        <v>8600</v>
      </c>
      <c r="C195" s="454" t="s">
        <v>575</v>
      </c>
      <c r="D195" s="250" t="s">
        <v>576</v>
      </c>
      <c r="E195" s="453">
        <f>F195</f>
        <v>220200</v>
      </c>
      <c r="F195" s="311">
        <f>1282700-1062500</f>
        <v>220200</v>
      </c>
      <c r="G195" s="311"/>
      <c r="H195" s="311"/>
      <c r="I195" s="311"/>
      <c r="J195" s="453">
        <f>L195+O195</f>
        <v>0</v>
      </c>
      <c r="K195" s="311"/>
      <c r="L195" s="311"/>
      <c r="M195" s="311"/>
      <c r="N195" s="311"/>
      <c r="O195" s="266">
        <f>K195</f>
        <v>0</v>
      </c>
      <c r="P195" s="453">
        <f>E195+J195</f>
        <v>220200</v>
      </c>
    </row>
    <row r="196" spans="1:19" ht="69" customHeight="1" x14ac:dyDescent="0.2">
      <c r="A196" s="250">
        <v>3718700</v>
      </c>
      <c r="B196" s="250">
        <v>8700</v>
      </c>
      <c r="C196" s="454" t="s">
        <v>70</v>
      </c>
      <c r="D196" s="269" t="s">
        <v>68</v>
      </c>
      <c r="E196" s="453">
        <f>F196</f>
        <v>652818</v>
      </c>
      <c r="F196" s="311">
        <f>(((5000000-655000)-3000000+1000000-800000-576000)-300000)+500000-134495-6687+500000-500000-375000</f>
        <v>652818</v>
      </c>
      <c r="G196" s="311"/>
      <c r="H196" s="311"/>
      <c r="I196" s="311"/>
      <c r="J196" s="453">
        <f>L196+O196</f>
        <v>0</v>
      </c>
      <c r="K196" s="311"/>
      <c r="L196" s="311"/>
      <c r="M196" s="311"/>
      <c r="N196" s="311"/>
      <c r="O196" s="266">
        <f>K196</f>
        <v>0</v>
      </c>
      <c r="P196" s="453">
        <f>E196+J196</f>
        <v>652818</v>
      </c>
    </row>
    <row r="197" spans="1:19" ht="65.25" customHeight="1" x14ac:dyDescent="0.2">
      <c r="A197" s="250">
        <v>3719110</v>
      </c>
      <c r="B197" s="250">
        <v>9110</v>
      </c>
      <c r="C197" s="454" t="s">
        <v>71</v>
      </c>
      <c r="D197" s="269" t="s">
        <v>69</v>
      </c>
      <c r="E197" s="453">
        <f>F197</f>
        <v>54386000</v>
      </c>
      <c r="F197" s="311">
        <v>54386000</v>
      </c>
      <c r="G197" s="311"/>
      <c r="H197" s="311"/>
      <c r="I197" s="311"/>
      <c r="J197" s="453">
        <f>L197+O197</f>
        <v>0</v>
      </c>
      <c r="K197" s="311"/>
      <c r="L197" s="311"/>
      <c r="M197" s="311"/>
      <c r="N197" s="311"/>
      <c r="O197" s="266">
        <f>K197</f>
        <v>0</v>
      </c>
      <c r="P197" s="453">
        <f>E197+J197</f>
        <v>54386000</v>
      </c>
    </row>
    <row r="198" spans="1:19" ht="111.75" customHeight="1" x14ac:dyDescent="0.55000000000000004">
      <c r="A198" s="330" t="s">
        <v>633</v>
      </c>
      <c r="B198" s="330" t="s">
        <v>633</v>
      </c>
      <c r="C198" s="330" t="s">
        <v>633</v>
      </c>
      <c r="D198" s="331" t="s">
        <v>649</v>
      </c>
      <c r="E198" s="332">
        <f>E14+E26+E122+E40+E54+E112+E138+E160+E169+E193+E174+E181+E188</f>
        <v>2677770792.2600002</v>
      </c>
      <c r="F198" s="332">
        <f>F14+F26+F122+F40+F53+F112+F138+F160+F169+F193+F174+F181+F188</f>
        <v>2677770792.2600002</v>
      </c>
      <c r="G198" s="332">
        <f t="shared" ref="G198:O198" si="117">G14+G26+G122+G40+G54+G112+G138+G160+G169+G193+G174+G181+G188</f>
        <v>871607182.39999998</v>
      </c>
      <c r="H198" s="332">
        <f>H14+H26+H122+H40+H54+H112+H138+H160+H169+H193+H174+H181+H188</f>
        <v>90895791</v>
      </c>
      <c r="I198" s="332">
        <f t="shared" si="117"/>
        <v>0</v>
      </c>
      <c r="J198" s="332">
        <f t="shared" si="117"/>
        <v>599027887.5</v>
      </c>
      <c r="K198" s="332">
        <f t="shared" si="117"/>
        <v>472178063.34999996</v>
      </c>
      <c r="L198" s="332">
        <f t="shared" si="117"/>
        <v>124116036.53</v>
      </c>
      <c r="M198" s="332">
        <f t="shared" si="117"/>
        <v>34317186</v>
      </c>
      <c r="N198" s="332">
        <f t="shared" si="117"/>
        <v>9158831.4000000004</v>
      </c>
      <c r="O198" s="332">
        <f t="shared" si="117"/>
        <v>474911850.96999997</v>
      </c>
      <c r="P198" s="332">
        <f>P14+P26+P122+P40+P53+P112+P138+P160+P169+P193+P174+P181+P188</f>
        <v>3276798679.7600002</v>
      </c>
      <c r="Q198" s="14" t="b">
        <f>K198='d5'!I204</f>
        <v>1</v>
      </c>
    </row>
    <row r="199" spans="1:19" ht="45.75" x14ac:dyDescent="0.2">
      <c r="A199" s="510" t="s">
        <v>448</v>
      </c>
      <c r="B199" s="511"/>
      <c r="C199" s="511"/>
      <c r="D199" s="511"/>
      <c r="E199" s="511"/>
      <c r="F199" s="511"/>
      <c r="G199" s="511"/>
      <c r="H199" s="511"/>
      <c r="I199" s="511"/>
      <c r="J199" s="511"/>
      <c r="K199" s="511"/>
      <c r="L199" s="511"/>
      <c r="M199" s="511"/>
      <c r="N199" s="511"/>
      <c r="O199" s="511"/>
      <c r="P199" s="511"/>
      <c r="Q199" s="12"/>
    </row>
    <row r="200" spans="1:19" ht="45.75" hidden="1" x14ac:dyDescent="0.2">
      <c r="A200" s="116"/>
      <c r="B200" s="117"/>
      <c r="C200" s="117"/>
      <c r="D200" s="117"/>
      <c r="E200" s="200">
        <f>F200</f>
        <v>2677770792.2600002</v>
      </c>
      <c r="F200" s="200">
        <f>2671792699.26+5978093</f>
        <v>2677770792.2600002</v>
      </c>
      <c r="G200" s="200">
        <f>866701198.4+1245600+2886700-60000-14600+92862-95878</f>
        <v>870755882.39999998</v>
      </c>
      <c r="H200" s="200">
        <f>(97100214-158830-15300+441-29533-5412935-459960)-128306</f>
        <v>90895791</v>
      </c>
      <c r="I200" s="200">
        <v>0</v>
      </c>
      <c r="J200" s="200">
        <f>602869614.5-3841727</f>
        <v>599027887.5</v>
      </c>
      <c r="K200" s="200">
        <f>476019790.35-3841727</f>
        <v>472178063.35000002</v>
      </c>
      <c r="L200" s="200">
        <f>124252836.53-136800</f>
        <v>124116036.53</v>
      </c>
      <c r="M200" s="200">
        <v>34317186</v>
      </c>
      <c r="N200" s="200">
        <v>9158831.4000000004</v>
      </c>
      <c r="O200" s="200">
        <f>478616777.97-3841727+136800</f>
        <v>474911850.97000003</v>
      </c>
      <c r="P200" s="200">
        <f>E200+J200</f>
        <v>3276798679.7600002</v>
      </c>
      <c r="Q200" s="12"/>
      <c r="R200" s="12"/>
    </row>
    <row r="201" spans="1:19" ht="45.75" x14ac:dyDescent="0.2">
      <c r="A201" s="116"/>
      <c r="B201" s="117"/>
      <c r="C201" s="117"/>
      <c r="D201" s="117"/>
      <c r="E201" s="117"/>
      <c r="F201" s="117"/>
      <c r="G201" s="117"/>
      <c r="H201" s="117"/>
      <c r="I201" s="117"/>
      <c r="J201" s="117"/>
      <c r="K201" s="117"/>
      <c r="L201" s="117"/>
      <c r="M201" s="117"/>
      <c r="N201" s="117"/>
      <c r="O201" s="117"/>
      <c r="P201" s="117"/>
      <c r="Q201" s="12"/>
    </row>
    <row r="202" spans="1:19" ht="45.75" x14ac:dyDescent="0.65">
      <c r="A202" s="446"/>
      <c r="B202" s="446"/>
      <c r="C202" s="446"/>
      <c r="D202" s="509" t="s">
        <v>1005</v>
      </c>
      <c r="E202" s="509"/>
      <c r="F202" s="509"/>
      <c r="G202" s="509"/>
      <c r="H202" s="509"/>
      <c r="I202" s="509"/>
      <c r="J202" s="509"/>
      <c r="K202" s="509"/>
      <c r="L202" s="509"/>
      <c r="M202" s="509"/>
      <c r="N202" s="509"/>
      <c r="O202" s="509"/>
      <c r="P202" s="509"/>
      <c r="Q202" s="13"/>
      <c r="S202" s="444" t="s">
        <v>1002</v>
      </c>
    </row>
    <row r="203" spans="1:19" ht="45.75" x14ac:dyDescent="0.2">
      <c r="E203" s="24"/>
      <c r="F203" s="3"/>
      <c r="J203" s="197"/>
      <c r="K203" s="197"/>
      <c r="O203" s="128"/>
      <c r="P203" s="19"/>
    </row>
    <row r="204" spans="1:19" ht="45.75" x14ac:dyDescent="0.65">
      <c r="D204" s="509"/>
      <c r="E204" s="509"/>
      <c r="F204" s="509"/>
      <c r="G204" s="509"/>
      <c r="H204" s="509"/>
      <c r="I204" s="509"/>
      <c r="J204" s="509"/>
      <c r="K204" s="509"/>
      <c r="L204" s="509"/>
      <c r="M204" s="509"/>
      <c r="N204" s="509"/>
      <c r="O204" s="509"/>
      <c r="P204" s="509"/>
      <c r="Q204" s="14"/>
    </row>
    <row r="205" spans="1:19" x14ac:dyDescent="0.2">
      <c r="E205" s="4"/>
      <c r="F205" s="3"/>
      <c r="J205" s="4"/>
      <c r="K205" s="4"/>
    </row>
    <row r="206" spans="1:19" x14ac:dyDescent="0.2">
      <c r="E206" s="4"/>
      <c r="F206" s="3"/>
      <c r="J206" s="4"/>
      <c r="K206" s="4"/>
    </row>
    <row r="207" spans="1:19" ht="60.75" x14ac:dyDescent="0.2">
      <c r="E207" s="114" t="b">
        <f t="shared" ref="E207:N207" si="118">E200=E198</f>
        <v>1</v>
      </c>
      <c r="F207" s="114" t="b">
        <f t="shared" si="118"/>
        <v>1</v>
      </c>
      <c r="G207" s="114" t="b">
        <f t="shared" si="118"/>
        <v>0</v>
      </c>
      <c r="H207" s="114" t="b">
        <f t="shared" si="118"/>
        <v>1</v>
      </c>
      <c r="I207" s="114" t="b">
        <f t="shared" si="118"/>
        <v>1</v>
      </c>
      <c r="J207" s="114" t="b">
        <f t="shared" si="118"/>
        <v>1</v>
      </c>
      <c r="K207" s="114" t="b">
        <f t="shared" si="118"/>
        <v>1</v>
      </c>
      <c r="L207" s="114" t="b">
        <f t="shared" si="118"/>
        <v>1</v>
      </c>
      <c r="M207" s="114" t="b">
        <f t="shared" si="118"/>
        <v>1</v>
      </c>
      <c r="N207" s="114" t="b">
        <f t="shared" si="118"/>
        <v>1</v>
      </c>
      <c r="O207" s="114" t="b">
        <f>O200=O198</f>
        <v>1</v>
      </c>
      <c r="P207" s="114" t="b">
        <f>P200=P198</f>
        <v>1</v>
      </c>
    </row>
    <row r="208" spans="1:19" ht="60.75" x14ac:dyDescent="0.2">
      <c r="E208" s="114" t="b">
        <f>E198=F198</f>
        <v>1</v>
      </c>
      <c r="F208" s="244">
        <f>F196/E198*100</f>
        <v>2.43791590335867E-2</v>
      </c>
      <c r="G208" s="128" t="s">
        <v>485</v>
      </c>
      <c r="I208" s="111"/>
      <c r="J208" s="114" t="b">
        <f>J200=L200+O200</f>
        <v>1</v>
      </c>
      <c r="K208" s="198"/>
      <c r="L208" s="114"/>
      <c r="M208" s="111"/>
      <c r="N208" s="111"/>
      <c r="O208" s="114"/>
      <c r="P208" s="114" t="b">
        <f>E198+J198=P198</f>
        <v>1</v>
      </c>
    </row>
    <row r="209" spans="1:18" x14ac:dyDescent="0.2">
      <c r="E209" s="6"/>
      <c r="F209" s="176"/>
      <c r="G209" s="6"/>
      <c r="H209" s="6"/>
      <c r="I209" s="6"/>
      <c r="J209" s="4"/>
      <c r="K209" s="4"/>
    </row>
    <row r="210" spans="1:18" ht="45.75" x14ac:dyDescent="0.2">
      <c r="A210" s="444"/>
      <c r="B210" s="444"/>
      <c r="C210" s="444"/>
      <c r="D210" s="10"/>
      <c r="F210" s="128">
        <f>F196/P198*100</f>
        <v>1.99224323432593E-2</v>
      </c>
      <c r="G210" s="128" t="s">
        <v>485</v>
      </c>
      <c r="I210" s="10"/>
      <c r="J210" s="145"/>
      <c r="K210" s="145"/>
      <c r="L210" s="444"/>
      <c r="M210" s="444"/>
      <c r="N210" s="444"/>
      <c r="O210" s="145"/>
      <c r="P210" s="444"/>
    </row>
    <row r="211" spans="1:18" ht="60.75" x14ac:dyDescent="0.2">
      <c r="D211" s="10"/>
      <c r="E211" s="145"/>
      <c r="F211" s="243"/>
      <c r="G211" s="23"/>
      <c r="I211" s="10"/>
      <c r="J211" s="145"/>
      <c r="K211" s="145"/>
      <c r="O211" s="145"/>
      <c r="P211" s="114"/>
      <c r="Q211" s="115"/>
      <c r="R211" s="114"/>
    </row>
    <row r="212" spans="1:18" ht="60.75" x14ac:dyDescent="0.2">
      <c r="A212" s="444"/>
      <c r="B212" s="444"/>
      <c r="C212" s="444"/>
      <c r="D212" s="10"/>
      <c r="E212" s="145"/>
      <c r="F212" s="128"/>
      <c r="G212" s="3"/>
      <c r="I212" s="10"/>
      <c r="J212" s="145"/>
      <c r="K212" s="145"/>
      <c r="L212" s="444"/>
      <c r="M212" s="444"/>
      <c r="N212" s="444"/>
      <c r="O212" s="145"/>
      <c r="P212" s="114"/>
      <c r="Q212" s="115"/>
      <c r="R212" s="114"/>
    </row>
    <row r="213" spans="1:18" ht="60.75" x14ac:dyDescent="0.2">
      <c r="D213" s="10"/>
      <c r="E213" s="145"/>
      <c r="F213" s="177"/>
      <c r="O213" s="114"/>
      <c r="P213" s="114"/>
    </row>
    <row r="214" spans="1:18" ht="60.75" x14ac:dyDescent="0.2">
      <c r="A214" s="444"/>
      <c r="B214" s="444"/>
      <c r="C214" s="444"/>
      <c r="D214" s="10"/>
      <c r="E214" s="145"/>
      <c r="F214" s="128"/>
      <c r="G214" s="3"/>
      <c r="J214" s="4"/>
      <c r="K214" s="4"/>
      <c r="L214" s="444"/>
      <c r="M214" s="444"/>
      <c r="N214" s="444"/>
      <c r="O214" s="444"/>
      <c r="P214" s="114"/>
    </row>
    <row r="215" spans="1:18" ht="62.25" x14ac:dyDescent="0.8">
      <c r="A215" s="444"/>
      <c r="B215" s="444"/>
      <c r="C215" s="444"/>
      <c r="D215" s="444"/>
      <c r="E215" s="21"/>
      <c r="F215" s="128"/>
      <c r="J215" s="4"/>
      <c r="K215" s="4"/>
      <c r="L215" s="444"/>
      <c r="M215" s="444"/>
      <c r="N215" s="444"/>
      <c r="O215" s="444"/>
      <c r="P215" s="151"/>
    </row>
    <row r="216" spans="1:18" ht="45.75" x14ac:dyDescent="0.2">
      <c r="E216" s="22"/>
      <c r="F216" s="177"/>
    </row>
    <row r="217" spans="1:18" ht="45.75" x14ac:dyDescent="0.2">
      <c r="A217" s="444"/>
      <c r="B217" s="444"/>
      <c r="C217" s="444"/>
      <c r="D217" s="444"/>
      <c r="E217" s="21"/>
      <c r="F217" s="128"/>
      <c r="L217" s="444"/>
      <c r="M217" s="444"/>
      <c r="N217" s="444"/>
      <c r="O217" s="444"/>
      <c r="P217" s="444"/>
    </row>
    <row r="218" spans="1:18" ht="45.75" x14ac:dyDescent="0.2">
      <c r="E218" s="22"/>
      <c r="F218" s="177"/>
    </row>
    <row r="219" spans="1:18" ht="45.75" x14ac:dyDescent="0.2">
      <c r="E219" s="22"/>
      <c r="F219" s="177"/>
    </row>
    <row r="220" spans="1:18" ht="45.75" x14ac:dyDescent="0.2">
      <c r="E220" s="22"/>
      <c r="F220" s="177"/>
    </row>
    <row r="221" spans="1:18" ht="45.75" x14ac:dyDescent="0.2">
      <c r="A221" s="444"/>
      <c r="B221" s="444"/>
      <c r="C221" s="444"/>
      <c r="D221" s="444"/>
      <c r="E221" s="22"/>
      <c r="F221" s="177"/>
      <c r="G221" s="444"/>
      <c r="H221" s="444"/>
      <c r="I221" s="444"/>
      <c r="J221" s="444"/>
      <c r="K221" s="444"/>
      <c r="L221" s="444"/>
      <c r="M221" s="444"/>
      <c r="N221" s="444"/>
      <c r="O221" s="444"/>
      <c r="P221" s="444"/>
    </row>
    <row r="222" spans="1:18" ht="45.75" x14ac:dyDescent="0.2">
      <c r="A222" s="444"/>
      <c r="B222" s="444"/>
      <c r="C222" s="444"/>
      <c r="D222" s="444"/>
      <c r="E222" s="22"/>
      <c r="F222" s="177"/>
      <c r="G222" s="444"/>
      <c r="H222" s="444"/>
      <c r="I222" s="444"/>
      <c r="J222" s="444"/>
      <c r="K222" s="444"/>
      <c r="L222" s="444"/>
      <c r="M222" s="444"/>
      <c r="N222" s="444"/>
      <c r="O222" s="444"/>
      <c r="P222" s="444"/>
    </row>
    <row r="223" spans="1:18" ht="45.75" x14ac:dyDescent="0.2">
      <c r="A223" s="444"/>
      <c r="B223" s="444"/>
      <c r="C223" s="444"/>
      <c r="D223" s="444"/>
      <c r="E223" s="22"/>
      <c r="F223" s="177"/>
      <c r="G223" s="444"/>
      <c r="H223" s="444"/>
      <c r="I223" s="444"/>
      <c r="J223" s="444"/>
      <c r="K223" s="444"/>
      <c r="L223" s="444"/>
      <c r="M223" s="444"/>
      <c r="N223" s="444"/>
      <c r="O223" s="444"/>
      <c r="P223" s="444"/>
    </row>
    <row r="224" spans="1:18" ht="45.75" x14ac:dyDescent="0.2">
      <c r="A224" s="444"/>
      <c r="B224" s="444"/>
      <c r="C224" s="444"/>
      <c r="D224" s="444"/>
      <c r="E224" s="22"/>
      <c r="F224" s="177"/>
      <c r="G224" s="444"/>
      <c r="H224" s="444"/>
      <c r="I224" s="444"/>
      <c r="J224" s="444"/>
      <c r="K224" s="444"/>
      <c r="L224" s="444"/>
      <c r="M224" s="444"/>
      <c r="N224" s="444"/>
      <c r="O224" s="444"/>
      <c r="P224" s="444"/>
    </row>
  </sheetData>
  <mergeCells count="147">
    <mergeCell ref="N2:Q2"/>
    <mergeCell ref="N3:Q3"/>
    <mergeCell ref="O4:P4"/>
    <mergeCell ref="A6:P6"/>
    <mergeCell ref="A7:P7"/>
    <mergeCell ref="A9:A11"/>
    <mergeCell ref="B9:B11"/>
    <mergeCell ref="C9:C11"/>
    <mergeCell ref="D9:D11"/>
    <mergeCell ref="E9:I9"/>
    <mergeCell ref="J9:O9"/>
    <mergeCell ref="P9:P11"/>
    <mergeCell ref="E10:E11"/>
    <mergeCell ref="F10:F11"/>
    <mergeCell ref="G10:H10"/>
    <mergeCell ref="I10:I11"/>
    <mergeCell ref="J10:J11"/>
    <mergeCell ref="K10:K11"/>
    <mergeCell ref="L10:L11"/>
    <mergeCell ref="M10:N10"/>
    <mergeCell ref="K19:K20"/>
    <mergeCell ref="L19:L20"/>
    <mergeCell ref="M19:M20"/>
    <mergeCell ref="N19:N20"/>
    <mergeCell ref="O19:O20"/>
    <mergeCell ref="P19:P20"/>
    <mergeCell ref="O10:O11"/>
    <mergeCell ref="A19:A20"/>
    <mergeCell ref="B19:B20"/>
    <mergeCell ref="C19:C20"/>
    <mergeCell ref="E19:E20"/>
    <mergeCell ref="F19:F20"/>
    <mergeCell ref="G19:G20"/>
    <mergeCell ref="H19:H20"/>
    <mergeCell ref="I19:I20"/>
    <mergeCell ref="J19:J20"/>
    <mergeCell ref="N79:N80"/>
    <mergeCell ref="O79:O80"/>
    <mergeCell ref="P79:P80"/>
    <mergeCell ref="A91:A93"/>
    <mergeCell ref="B91:B93"/>
    <mergeCell ref="C91:C93"/>
    <mergeCell ref="E91:E93"/>
    <mergeCell ref="F91:F93"/>
    <mergeCell ref="G91:G93"/>
    <mergeCell ref="H91:H93"/>
    <mergeCell ref="H79:H80"/>
    <mergeCell ref="I79:I80"/>
    <mergeCell ref="J79:J80"/>
    <mergeCell ref="K79:K80"/>
    <mergeCell ref="L79:L80"/>
    <mergeCell ref="M79:M80"/>
    <mergeCell ref="A79:A80"/>
    <mergeCell ref="B79:B80"/>
    <mergeCell ref="C79:C80"/>
    <mergeCell ref="E79:E80"/>
    <mergeCell ref="F79:F80"/>
    <mergeCell ref="G79:G80"/>
    <mergeCell ref="O91:O93"/>
    <mergeCell ref="P91:P93"/>
    <mergeCell ref="R91:R93"/>
    <mergeCell ref="A94:A97"/>
    <mergeCell ref="B94:B97"/>
    <mergeCell ref="C94:C97"/>
    <mergeCell ref="E94:E97"/>
    <mergeCell ref="F94:F97"/>
    <mergeCell ref="G94:G97"/>
    <mergeCell ref="H94:H97"/>
    <mergeCell ref="I91:I93"/>
    <mergeCell ref="J91:J93"/>
    <mergeCell ref="K91:K93"/>
    <mergeCell ref="L91:L93"/>
    <mergeCell ref="M91:M93"/>
    <mergeCell ref="N91:N93"/>
    <mergeCell ref="O94:O97"/>
    <mergeCell ref="P94:P97"/>
    <mergeCell ref="R94:R97"/>
    <mergeCell ref="K94:K97"/>
    <mergeCell ref="L94:L97"/>
    <mergeCell ref="M94:M97"/>
    <mergeCell ref="N94:N97"/>
    <mergeCell ref="A98:A100"/>
    <mergeCell ref="B98:B100"/>
    <mergeCell ref="C98:C100"/>
    <mergeCell ref="E98:E100"/>
    <mergeCell ref="F98:F100"/>
    <mergeCell ref="G98:G100"/>
    <mergeCell ref="H98:H100"/>
    <mergeCell ref="I94:I97"/>
    <mergeCell ref="J94:J97"/>
    <mergeCell ref="I101:I103"/>
    <mergeCell ref="O98:O100"/>
    <mergeCell ref="P98:P100"/>
    <mergeCell ref="R98:R100"/>
    <mergeCell ref="A101:A103"/>
    <mergeCell ref="B101:B103"/>
    <mergeCell ref="C101:C103"/>
    <mergeCell ref="E101:E103"/>
    <mergeCell ref="F101:F103"/>
    <mergeCell ref="G101:G103"/>
    <mergeCell ref="H101:H103"/>
    <mergeCell ref="I98:I100"/>
    <mergeCell ref="J98:J100"/>
    <mergeCell ref="K98:K100"/>
    <mergeCell ref="L98:L100"/>
    <mergeCell ref="M98:M100"/>
    <mergeCell ref="N98:N100"/>
    <mergeCell ref="O101:O103"/>
    <mergeCell ref="P101:P103"/>
    <mergeCell ref="J101:J103"/>
    <mergeCell ref="K101:K103"/>
    <mergeCell ref="L101:L103"/>
    <mergeCell ref="M101:M103"/>
    <mergeCell ref="N101:N103"/>
    <mergeCell ref="P109:P110"/>
    <mergeCell ref="A156:A157"/>
    <mergeCell ref="B156:B157"/>
    <mergeCell ref="C156:C157"/>
    <mergeCell ref="E156:E157"/>
    <mergeCell ref="F156:F157"/>
    <mergeCell ref="G156:G157"/>
    <mergeCell ref="H156:H157"/>
    <mergeCell ref="I156:I157"/>
    <mergeCell ref="J156:J157"/>
    <mergeCell ref="J109:J110"/>
    <mergeCell ref="K109:K110"/>
    <mergeCell ref="L109:L110"/>
    <mergeCell ref="M109:M110"/>
    <mergeCell ref="N109:N110"/>
    <mergeCell ref="O109:O110"/>
    <mergeCell ref="A109:A110"/>
    <mergeCell ref="B109:B110"/>
    <mergeCell ref="C109:C110"/>
    <mergeCell ref="E109:E110"/>
    <mergeCell ref="F109:F110"/>
    <mergeCell ref="G109:G110"/>
    <mergeCell ref="H109:H110"/>
    <mergeCell ref="I109:I110"/>
    <mergeCell ref="A199:P199"/>
    <mergeCell ref="D202:P202"/>
    <mergeCell ref="D204:P204"/>
    <mergeCell ref="K156:K157"/>
    <mergeCell ref="L156:L157"/>
    <mergeCell ref="M156:M157"/>
    <mergeCell ref="N156:N157"/>
    <mergeCell ref="O156:O157"/>
    <mergeCell ref="P156:P157"/>
  </mergeCells>
  <conditionalFormatting sqref="Q169:R171">
    <cfRule type="iconSet" priority="9">
      <iconSet iconSet="3Arrows">
        <cfvo type="percent" val="0"/>
        <cfvo type="percent" val="33"/>
        <cfvo type="percent" val="67"/>
      </iconSet>
    </cfRule>
  </conditionalFormatting>
  <conditionalFormatting sqref="Q181:R182">
    <cfRule type="iconSet" priority="8">
      <iconSet iconSet="3Arrows">
        <cfvo type="percent" val="0"/>
        <cfvo type="percent" val="33"/>
        <cfvo type="percent" val="67"/>
      </iconSet>
    </cfRule>
  </conditionalFormatting>
  <conditionalFormatting sqref="Q194:R194 Q193">
    <cfRule type="iconSet" priority="7">
      <iconSet iconSet="3Arrows">
        <cfvo type="percent" val="0"/>
        <cfvo type="percent" val="33"/>
        <cfvo type="percent" val="67"/>
      </iconSet>
    </cfRule>
  </conditionalFormatting>
  <conditionalFormatting sqref="Q188:R189">
    <cfRule type="iconSet" priority="6">
      <iconSet iconSet="3Arrows">
        <cfvo type="percent" val="0"/>
        <cfvo type="percent" val="33"/>
        <cfvo type="percent" val="67"/>
      </iconSet>
    </cfRule>
  </conditionalFormatting>
  <conditionalFormatting sqref="R193">
    <cfRule type="iconSet" priority="5">
      <iconSet iconSet="3Arrows">
        <cfvo type="percent" val="0"/>
        <cfvo type="percent" val="33"/>
        <cfvo type="percent" val="67"/>
      </iconSet>
    </cfRule>
  </conditionalFormatting>
  <conditionalFormatting sqref="Q174:R174">
    <cfRule type="iconSet" priority="10">
      <iconSet iconSet="3Arrows">
        <cfvo type="percent" val="0"/>
        <cfvo type="percent" val="33"/>
        <cfvo type="percent" val="67"/>
      </iconSet>
    </cfRule>
  </conditionalFormatting>
  <conditionalFormatting sqref="R175:R179">
    <cfRule type="iconSet" priority="4">
      <iconSet iconSet="3Arrows">
        <cfvo type="percent" val="0"/>
        <cfvo type="percent" val="33"/>
        <cfvo type="percent" val="67"/>
      </iconSet>
    </cfRule>
  </conditionalFormatting>
  <conditionalFormatting sqref="Q172">
    <cfRule type="iconSet" priority="3">
      <iconSet iconSet="3Arrows">
        <cfvo type="percent" val="0"/>
        <cfvo type="percent" val="33"/>
        <cfvo type="percent" val="67"/>
      </iconSet>
    </cfRule>
  </conditionalFormatting>
  <conditionalFormatting sqref="Q190">
    <cfRule type="iconSet" priority="2">
      <iconSet iconSet="3Arrows">
        <cfvo type="percent" val="0"/>
        <cfvo type="percent" val="33"/>
        <cfvo type="percent" val="67"/>
      </iconSet>
    </cfRule>
  </conditionalFormatting>
  <conditionalFormatting sqref="Q191">
    <cfRule type="iconSet" priority="1">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5" fitToHeight="0" orientation="landscape" r:id="rId1"/>
  <headerFooter alignWithMargins="0">
    <oddFooter>&amp;C&amp;"Times New Roman Cyr,курсив"Сторінка &amp;P з &amp;N</oddFooter>
  </headerFooter>
  <rowBreaks count="3" manualBreakCount="3">
    <brk id="28" max="15" man="1"/>
    <brk id="49" max="15" man="1"/>
    <brk id="70"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2:P213"/>
  <sheetViews>
    <sheetView tabSelected="1" view="pageBreakPreview" topLeftCell="E1" zoomScale="25" zoomScaleNormal="25" zoomScaleSheetLayoutView="25" zoomScalePageLayoutView="10" workbookViewId="0">
      <pane ySplit="12" topLeftCell="A192" activePane="bottomLeft" state="frozen"/>
      <selection activeCell="AA194" sqref="AA194"/>
      <selection pane="bottomLeft" activeCell="E194" sqref="E194:P197"/>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66.42578125" style="5" customWidth="1"/>
    <col min="6" max="6" width="58.5703125" style="1" customWidth="1"/>
    <col min="7" max="7" width="55.42578125" style="1" customWidth="1"/>
    <col min="8" max="8" width="48.140625" style="1" customWidth="1"/>
    <col min="9" max="9" width="41.85546875" style="1" customWidth="1"/>
    <col min="10" max="10" width="50.5703125" style="5" customWidth="1"/>
    <col min="11" max="11" width="52.5703125" style="5" customWidth="1"/>
    <col min="12" max="12" width="56.140625" style="1" customWidth="1"/>
    <col min="13" max="13" width="54.85546875" style="1" customWidth="1"/>
    <col min="14" max="14" width="45.28515625" style="1" bestFit="1" customWidth="1"/>
    <col min="15" max="15" width="56.140625" style="1" bestFit="1" customWidth="1"/>
    <col min="16" max="16" width="86.28515625" style="5" customWidth="1"/>
    <col min="17" max="16384" width="9.140625" style="444"/>
  </cols>
  <sheetData>
    <row r="2" spans="1:16" ht="45.75" x14ac:dyDescent="0.2">
      <c r="D2" s="446"/>
      <c r="E2" s="447"/>
      <c r="F2" s="445"/>
      <c r="G2" s="447"/>
      <c r="H2" s="447"/>
      <c r="I2" s="447"/>
      <c r="J2" s="447"/>
      <c r="K2" s="447"/>
      <c r="L2" s="447"/>
      <c r="M2" s="447"/>
      <c r="N2" s="470"/>
      <c r="O2" s="458"/>
      <c r="P2" s="458"/>
    </row>
    <row r="3" spans="1:16" ht="45.75" x14ac:dyDescent="0.2">
      <c r="A3" s="446"/>
      <c r="B3" s="446"/>
      <c r="C3" s="446"/>
      <c r="D3" s="446"/>
      <c r="E3" s="447"/>
      <c r="F3" s="445"/>
      <c r="G3" s="447"/>
      <c r="H3" s="447"/>
      <c r="I3" s="447"/>
      <c r="J3" s="447"/>
      <c r="K3" s="447"/>
      <c r="L3" s="447"/>
      <c r="M3" s="447"/>
      <c r="N3" s="470"/>
      <c r="O3" s="471"/>
      <c r="P3" s="471"/>
    </row>
    <row r="4" spans="1:16" ht="40.700000000000003" customHeight="1" x14ac:dyDescent="0.2">
      <c r="A4" s="446"/>
      <c r="B4" s="446"/>
      <c r="C4" s="446"/>
      <c r="D4" s="446"/>
      <c r="E4" s="447"/>
      <c r="F4" s="445"/>
      <c r="G4" s="447"/>
      <c r="H4" s="447"/>
      <c r="I4" s="447"/>
      <c r="J4" s="447"/>
      <c r="K4" s="447"/>
      <c r="L4" s="447"/>
      <c r="M4" s="447"/>
      <c r="N4" s="447"/>
      <c r="O4" s="470"/>
      <c r="P4" s="472"/>
    </row>
    <row r="5" spans="1:16" ht="45.75" hidden="1" x14ac:dyDescent="0.2">
      <c r="A5" s="446"/>
      <c r="B5" s="446"/>
      <c r="C5" s="446"/>
      <c r="D5" s="446"/>
      <c r="E5" s="447"/>
      <c r="F5" s="445"/>
      <c r="G5" s="447"/>
      <c r="H5" s="447"/>
      <c r="I5" s="447"/>
      <c r="J5" s="447"/>
      <c r="K5" s="447"/>
      <c r="L5" s="447"/>
      <c r="M5" s="447"/>
      <c r="N5" s="447"/>
      <c r="O5" s="446"/>
      <c r="P5" s="445"/>
    </row>
    <row r="6" spans="1:16" ht="45" x14ac:dyDescent="0.2">
      <c r="A6" s="474" t="s">
        <v>1001</v>
      </c>
      <c r="B6" s="474"/>
      <c r="C6" s="474"/>
      <c r="D6" s="474"/>
      <c r="E6" s="474"/>
      <c r="F6" s="474"/>
      <c r="G6" s="474"/>
      <c r="H6" s="474"/>
      <c r="I6" s="474"/>
      <c r="J6" s="474"/>
      <c r="K6" s="474"/>
      <c r="L6" s="474"/>
      <c r="M6" s="474"/>
      <c r="N6" s="474"/>
      <c r="O6" s="474"/>
      <c r="P6" s="474"/>
    </row>
    <row r="7" spans="1:16" ht="45" x14ac:dyDescent="0.2">
      <c r="A7" s="474" t="s">
        <v>639</v>
      </c>
      <c r="B7" s="474"/>
      <c r="C7" s="474"/>
      <c r="D7" s="474"/>
      <c r="E7" s="474"/>
      <c r="F7" s="474"/>
      <c r="G7" s="474"/>
      <c r="H7" s="474"/>
      <c r="I7" s="474"/>
      <c r="J7" s="474"/>
      <c r="K7" s="474"/>
      <c r="L7" s="474"/>
      <c r="M7" s="474"/>
      <c r="N7" s="474"/>
      <c r="O7" s="474"/>
      <c r="P7" s="474"/>
    </row>
    <row r="8" spans="1:16" ht="53.45" customHeight="1" x14ac:dyDescent="0.2">
      <c r="A8" s="447"/>
      <c r="B8" s="447"/>
      <c r="C8" s="447"/>
      <c r="D8" s="447"/>
      <c r="E8" s="447"/>
      <c r="F8" s="445"/>
      <c r="G8" s="447"/>
      <c r="H8" s="447"/>
      <c r="I8" s="447"/>
      <c r="J8" s="447"/>
      <c r="K8" s="447"/>
      <c r="L8" s="447"/>
      <c r="M8" s="447"/>
      <c r="N8" s="447"/>
      <c r="O8" s="447"/>
      <c r="P8" s="10" t="s">
        <v>640</v>
      </c>
    </row>
    <row r="9" spans="1:16" ht="62.45" customHeight="1" x14ac:dyDescent="0.2">
      <c r="A9" s="478" t="s">
        <v>29</v>
      </c>
      <c r="B9" s="478" t="s">
        <v>641</v>
      </c>
      <c r="C9" s="478" t="s">
        <v>648</v>
      </c>
      <c r="D9" s="478" t="s">
        <v>642</v>
      </c>
      <c r="E9" s="473" t="s">
        <v>25</v>
      </c>
      <c r="F9" s="473"/>
      <c r="G9" s="473"/>
      <c r="H9" s="473"/>
      <c r="I9" s="473"/>
      <c r="J9" s="483" t="s">
        <v>84</v>
      </c>
      <c r="K9" s="484"/>
      <c r="L9" s="484"/>
      <c r="M9" s="484"/>
      <c r="N9" s="484"/>
      <c r="O9" s="485"/>
      <c r="P9" s="473" t="s">
        <v>24</v>
      </c>
    </row>
    <row r="10" spans="1:16" ht="255" customHeight="1" x14ac:dyDescent="0.2">
      <c r="A10" s="479"/>
      <c r="B10" s="481"/>
      <c r="C10" s="481"/>
      <c r="D10" s="479"/>
      <c r="E10" s="475" t="s">
        <v>636</v>
      </c>
      <c r="F10" s="475" t="s">
        <v>85</v>
      </c>
      <c r="G10" s="475" t="s">
        <v>26</v>
      </c>
      <c r="H10" s="475"/>
      <c r="I10" s="475" t="s">
        <v>87</v>
      </c>
      <c r="J10" s="475" t="s">
        <v>636</v>
      </c>
      <c r="K10" s="475" t="s">
        <v>637</v>
      </c>
      <c r="L10" s="475" t="s">
        <v>85</v>
      </c>
      <c r="M10" s="475" t="s">
        <v>26</v>
      </c>
      <c r="N10" s="475"/>
      <c r="O10" s="475" t="s">
        <v>87</v>
      </c>
      <c r="P10" s="473"/>
    </row>
    <row r="11" spans="1:16" ht="135" x14ac:dyDescent="0.2">
      <c r="A11" s="480"/>
      <c r="B11" s="480"/>
      <c r="C11" s="480"/>
      <c r="D11" s="480"/>
      <c r="E11" s="475"/>
      <c r="F11" s="475"/>
      <c r="G11" s="448" t="s">
        <v>86</v>
      </c>
      <c r="H11" s="448" t="s">
        <v>28</v>
      </c>
      <c r="I11" s="475"/>
      <c r="J11" s="475"/>
      <c r="K11" s="475"/>
      <c r="L11" s="475"/>
      <c r="M11" s="448" t="s">
        <v>86</v>
      </c>
      <c r="N11" s="448" t="s">
        <v>28</v>
      </c>
      <c r="O11" s="475"/>
      <c r="P11" s="473"/>
    </row>
    <row r="12" spans="1:16" s="2" customFormat="1" ht="111" customHeight="1" x14ac:dyDescent="0.2">
      <c r="A12" s="11" t="s">
        <v>4</v>
      </c>
      <c r="B12" s="11" t="s">
        <v>5</v>
      </c>
      <c r="C12" s="11" t="s">
        <v>27</v>
      </c>
      <c r="D12" s="11" t="s">
        <v>7</v>
      </c>
      <c r="E12" s="11" t="s">
        <v>651</v>
      </c>
      <c r="F12" s="11" t="s">
        <v>652</v>
      </c>
      <c r="G12" s="11" t="s">
        <v>653</v>
      </c>
      <c r="H12" s="11" t="s">
        <v>654</v>
      </c>
      <c r="I12" s="11" t="s">
        <v>655</v>
      </c>
      <c r="J12" s="11" t="s">
        <v>656</v>
      </c>
      <c r="K12" s="11" t="s">
        <v>657</v>
      </c>
      <c r="L12" s="11" t="s">
        <v>658</v>
      </c>
      <c r="M12" s="11" t="s">
        <v>659</v>
      </c>
      <c r="N12" s="11" t="s">
        <v>660</v>
      </c>
      <c r="O12" s="11" t="s">
        <v>661</v>
      </c>
      <c r="P12" s="11" t="s">
        <v>662</v>
      </c>
    </row>
    <row r="13" spans="1:16" s="2" customFormat="1" ht="135" x14ac:dyDescent="0.2">
      <c r="A13" s="327" t="s">
        <v>228</v>
      </c>
      <c r="B13" s="327"/>
      <c r="C13" s="327"/>
      <c r="D13" s="328" t="s">
        <v>230</v>
      </c>
      <c r="E13" s="329">
        <f>E14</f>
        <v>70000</v>
      </c>
      <c r="F13" s="329">
        <f t="shared" ref="F13:N13" si="0">F14</f>
        <v>70000</v>
      </c>
      <c r="G13" s="329">
        <f t="shared" si="0"/>
        <v>0</v>
      </c>
      <c r="H13" s="329">
        <f t="shared" si="0"/>
        <v>0</v>
      </c>
      <c r="I13" s="329">
        <f t="shared" si="0"/>
        <v>0</v>
      </c>
      <c r="J13" s="329">
        <f t="shared" si="0"/>
        <v>0</v>
      </c>
      <c r="K13" s="329">
        <f t="shared" si="0"/>
        <v>0</v>
      </c>
      <c r="L13" s="329">
        <f t="shared" si="0"/>
        <v>0</v>
      </c>
      <c r="M13" s="329">
        <f t="shared" si="0"/>
        <v>0</v>
      </c>
      <c r="N13" s="329">
        <f t="shared" si="0"/>
        <v>0</v>
      </c>
      <c r="O13" s="329">
        <f>O14</f>
        <v>0</v>
      </c>
      <c r="P13" s="329">
        <f t="shared" ref="P13" si="1">P14</f>
        <v>70000</v>
      </c>
    </row>
    <row r="14" spans="1:16" s="2" customFormat="1" ht="135" x14ac:dyDescent="0.2">
      <c r="A14" s="324" t="s">
        <v>229</v>
      </c>
      <c r="B14" s="324"/>
      <c r="C14" s="324"/>
      <c r="D14" s="325" t="s">
        <v>231</v>
      </c>
      <c r="E14" s="326">
        <f>SUM(E15:E24)</f>
        <v>70000</v>
      </c>
      <c r="F14" s="326">
        <f t="shared" ref="F14:I14" si="2">SUM(F15:F24)</f>
        <v>70000</v>
      </c>
      <c r="G14" s="326">
        <f t="shared" si="2"/>
        <v>0</v>
      </c>
      <c r="H14" s="326">
        <f t="shared" si="2"/>
        <v>0</v>
      </c>
      <c r="I14" s="326">
        <f t="shared" si="2"/>
        <v>0</v>
      </c>
      <c r="J14" s="326">
        <f t="shared" ref="J14" si="3">L14+O14</f>
        <v>0</v>
      </c>
      <c r="K14" s="326">
        <f t="shared" ref="K14:O14" si="4">SUM(K15:K24)</f>
        <v>0</v>
      </c>
      <c r="L14" s="326">
        <f t="shared" si="4"/>
        <v>0</v>
      </c>
      <c r="M14" s="326">
        <f t="shared" si="4"/>
        <v>0</v>
      </c>
      <c r="N14" s="326">
        <f t="shared" si="4"/>
        <v>0</v>
      </c>
      <c r="O14" s="326">
        <f t="shared" si="4"/>
        <v>0</v>
      </c>
      <c r="P14" s="326">
        <f>E14+J14</f>
        <v>70000</v>
      </c>
    </row>
    <row r="15" spans="1:16" ht="320.25" x14ac:dyDescent="0.2">
      <c r="A15" s="454" t="s">
        <v>331</v>
      </c>
      <c r="B15" s="454" t="s">
        <v>332</v>
      </c>
      <c r="C15" s="454" t="s">
        <v>333</v>
      </c>
      <c r="D15" s="454" t="s">
        <v>330</v>
      </c>
      <c r="E15" s="311">
        <f>'d3'!E15-'d3 до МВК'!E15</f>
        <v>0</v>
      </c>
      <c r="F15" s="311">
        <f>'d3'!F15-'d3 до МВК'!F15</f>
        <v>0</v>
      </c>
      <c r="G15" s="311">
        <f>'d3'!G15-'d3 до МВК'!G15</f>
        <v>0</v>
      </c>
      <c r="H15" s="311">
        <f>'d3'!H15-'d3 до МВК'!H15</f>
        <v>0</v>
      </c>
      <c r="I15" s="311">
        <f>'d3'!I15-'d3 до МВК'!I15</f>
        <v>0</v>
      </c>
      <c r="J15" s="311">
        <f>'d3'!J15-'d3 до МВК'!J15</f>
        <v>0</v>
      </c>
      <c r="K15" s="311">
        <f>'d3'!K15-'d3 до МВК'!K15</f>
        <v>0</v>
      </c>
      <c r="L15" s="311">
        <f>'d3'!L15-'d3 до МВК'!L15</f>
        <v>0</v>
      </c>
      <c r="M15" s="311">
        <f>'d3'!M15-'d3 до МВК'!M15</f>
        <v>0</v>
      </c>
      <c r="N15" s="311">
        <f>'d3'!N15-'d3 до МВК'!N15</f>
        <v>0</v>
      </c>
      <c r="O15" s="311">
        <f>'d3'!O15-'d3 до МВК'!O15</f>
        <v>0</v>
      </c>
      <c r="P15" s="311">
        <f>'d3'!P15-'d3 до МВК'!P15</f>
        <v>0</v>
      </c>
    </row>
    <row r="16" spans="1:16" ht="91.5" x14ac:dyDescent="0.2">
      <c r="A16" s="454" t="s">
        <v>347</v>
      </c>
      <c r="B16" s="454" t="s">
        <v>71</v>
      </c>
      <c r="C16" s="454" t="s">
        <v>70</v>
      </c>
      <c r="D16" s="454" t="s">
        <v>348</v>
      </c>
      <c r="E16" s="311">
        <f>'d3'!E16-'d3 до МВК'!E16</f>
        <v>0</v>
      </c>
      <c r="F16" s="311">
        <f>'d3'!F16-'d3 до МВК'!F16</f>
        <v>0</v>
      </c>
      <c r="G16" s="311">
        <f>'d3'!G16-'d3 до МВК'!G16</f>
        <v>0</v>
      </c>
      <c r="H16" s="311">
        <f>'d3'!H16-'d3 до МВК'!H16</f>
        <v>0</v>
      </c>
      <c r="I16" s="311">
        <f>'d3'!I16-'d3 до МВК'!I16</f>
        <v>0</v>
      </c>
      <c r="J16" s="311">
        <f>'d3'!J16-'d3 до МВК'!J16</f>
        <v>0</v>
      </c>
      <c r="K16" s="311">
        <f>'d3'!K16-'d3 до МВК'!K16</f>
        <v>0</v>
      </c>
      <c r="L16" s="311">
        <f>'d3'!L16-'d3 до МВК'!L16</f>
        <v>0</v>
      </c>
      <c r="M16" s="311">
        <f>'d3'!M16-'d3 до МВК'!M16</f>
        <v>0</v>
      </c>
      <c r="N16" s="311">
        <f>'d3'!N16-'d3 до МВК'!N16</f>
        <v>0</v>
      </c>
      <c r="O16" s="311">
        <f>'d3'!O16-'d3 до МВК'!O16</f>
        <v>0</v>
      </c>
      <c r="P16" s="311">
        <f>'d3'!P16-'d3 до МВК'!P16</f>
        <v>0</v>
      </c>
    </row>
    <row r="17" spans="1:16" ht="91.5" x14ac:dyDescent="0.2">
      <c r="A17" s="454" t="s">
        <v>337</v>
      </c>
      <c r="B17" s="454" t="s">
        <v>338</v>
      </c>
      <c r="C17" s="454" t="s">
        <v>339</v>
      </c>
      <c r="D17" s="454" t="s">
        <v>336</v>
      </c>
      <c r="E17" s="311">
        <f>'d3'!E17-'d3 до МВК'!E17</f>
        <v>0</v>
      </c>
      <c r="F17" s="311">
        <f>'d3'!F17-'d3 до МВК'!F17</f>
        <v>0</v>
      </c>
      <c r="G17" s="311">
        <f>'d3'!G17-'d3 до МВК'!G17</f>
        <v>0</v>
      </c>
      <c r="H17" s="311">
        <f>'d3'!H17-'d3 до МВК'!H17</f>
        <v>0</v>
      </c>
      <c r="I17" s="311">
        <f>'d3'!I17-'d3 до МВК'!I17</f>
        <v>0</v>
      </c>
      <c r="J17" s="311">
        <f>'d3'!J17-'d3 до МВК'!J17</f>
        <v>0</v>
      </c>
      <c r="K17" s="311">
        <f>'d3'!K17-'d3 до МВК'!K17</f>
        <v>0</v>
      </c>
      <c r="L17" s="311">
        <f>'d3'!L17-'d3 до МВК'!L17</f>
        <v>0</v>
      </c>
      <c r="M17" s="311">
        <f>'d3'!M17-'d3 до МВК'!M17</f>
        <v>0</v>
      </c>
      <c r="N17" s="311">
        <f>'d3'!N17-'d3 до МВК'!N17</f>
        <v>0</v>
      </c>
      <c r="O17" s="311">
        <f>'d3'!O17-'d3 до МВК'!O17</f>
        <v>0</v>
      </c>
      <c r="P17" s="311">
        <f>'d3'!P17-'d3 до МВК'!P17</f>
        <v>0</v>
      </c>
    </row>
    <row r="18" spans="1:16" ht="137.25" x14ac:dyDescent="0.2">
      <c r="A18" s="454" t="s">
        <v>439</v>
      </c>
      <c r="B18" s="454" t="s">
        <v>440</v>
      </c>
      <c r="C18" s="454" t="s">
        <v>250</v>
      </c>
      <c r="D18" s="449" t="s">
        <v>438</v>
      </c>
      <c r="E18" s="311">
        <f>'d3'!E18-'d3 до МВК'!E18</f>
        <v>0</v>
      </c>
      <c r="F18" s="311">
        <f>'d3'!F18-'d3 до МВК'!F18</f>
        <v>0</v>
      </c>
      <c r="G18" s="311">
        <f>'d3'!G18-'d3 до МВК'!G18</f>
        <v>0</v>
      </c>
      <c r="H18" s="311">
        <f>'d3'!H18-'d3 до МВК'!H18</f>
        <v>0</v>
      </c>
      <c r="I18" s="311">
        <f>'d3'!I18-'d3 до МВК'!I18</f>
        <v>0</v>
      </c>
      <c r="J18" s="311">
        <f>'d3'!J18-'d3 до МВК'!J18</f>
        <v>0</v>
      </c>
      <c r="K18" s="311">
        <f>'d3'!K18-'d3 до МВК'!K18</f>
        <v>0</v>
      </c>
      <c r="L18" s="311">
        <f>'d3'!L18-'d3 до МВК'!L18</f>
        <v>0</v>
      </c>
      <c r="M18" s="311">
        <f>'d3'!M18-'d3 до МВК'!M18</f>
        <v>0</v>
      </c>
      <c r="N18" s="311">
        <f>'d3'!N18-'d3 до МВК'!N18</f>
        <v>0</v>
      </c>
      <c r="O18" s="311">
        <f>'d3'!O18-'d3 до МВК'!O18</f>
        <v>0</v>
      </c>
      <c r="P18" s="311">
        <f>'d3'!P18-'d3 до МВК'!P18</f>
        <v>0</v>
      </c>
    </row>
    <row r="19" spans="1:16" s="118" customFormat="1" ht="409.5" x14ac:dyDescent="0.2">
      <c r="A19" s="476" t="s">
        <v>526</v>
      </c>
      <c r="B19" s="476" t="s">
        <v>525</v>
      </c>
      <c r="C19" s="476" t="s">
        <v>250</v>
      </c>
      <c r="D19" s="267" t="s">
        <v>536</v>
      </c>
      <c r="E19" s="491">
        <f>'d3'!E19-'d3 до МВК'!E19</f>
        <v>0</v>
      </c>
      <c r="F19" s="491">
        <f>'d3'!F19-'d3 до МВК'!F19</f>
        <v>0</v>
      </c>
      <c r="G19" s="491">
        <f>'d3'!G19-'d3 до МВК'!G19</f>
        <v>0</v>
      </c>
      <c r="H19" s="491">
        <f>'d3'!H19-'d3 до МВК'!H19</f>
        <v>0</v>
      </c>
      <c r="I19" s="491">
        <f>'d3'!I19-'d3 до МВК'!I19</f>
        <v>0</v>
      </c>
      <c r="J19" s="491">
        <f>'d3'!J19-'d3 до МВК'!J19</f>
        <v>0</v>
      </c>
      <c r="K19" s="491">
        <f>'d3'!K19-'d3 до МВК'!K19</f>
        <v>0</v>
      </c>
      <c r="L19" s="491">
        <f>'d3'!L19-'d3 до МВК'!L19</f>
        <v>0</v>
      </c>
      <c r="M19" s="491">
        <f>'d3'!M19-'d3 до МВК'!M19</f>
        <v>0</v>
      </c>
      <c r="N19" s="491">
        <f>'d3'!N19-'d3 до МВК'!N19</f>
        <v>0</v>
      </c>
      <c r="O19" s="491">
        <f>'d3'!O19-'d3 до МВК'!O19</f>
        <v>0</v>
      </c>
      <c r="P19" s="491">
        <f>'d3'!P19-'d3 до МВК'!P19</f>
        <v>0</v>
      </c>
    </row>
    <row r="20" spans="1:16" s="118" customFormat="1" ht="137.25" x14ac:dyDescent="0.2">
      <c r="A20" s="477"/>
      <c r="B20" s="477"/>
      <c r="C20" s="477"/>
      <c r="D20" s="268" t="s">
        <v>537</v>
      </c>
      <c r="E20" s="469"/>
      <c r="F20" s="469"/>
      <c r="G20" s="469"/>
      <c r="H20" s="469"/>
      <c r="I20" s="469"/>
      <c r="J20" s="469"/>
      <c r="K20" s="469"/>
      <c r="L20" s="469"/>
      <c r="M20" s="469"/>
      <c r="N20" s="469"/>
      <c r="O20" s="469"/>
      <c r="P20" s="469"/>
    </row>
    <row r="21" spans="1:16" ht="91.5" x14ac:dyDescent="0.2">
      <c r="A21" s="454" t="s">
        <v>340</v>
      </c>
      <c r="B21" s="454" t="s">
        <v>341</v>
      </c>
      <c r="C21" s="454" t="s">
        <v>342</v>
      </c>
      <c r="D21" s="449" t="s">
        <v>343</v>
      </c>
      <c r="E21" s="311">
        <f>'d3'!E21-'d3 до МВК'!E21</f>
        <v>0</v>
      </c>
      <c r="F21" s="311">
        <f>'d3'!F21-'d3 до МВК'!F21</f>
        <v>0</v>
      </c>
      <c r="G21" s="311">
        <f>'d3'!G21-'d3 до МВК'!G21</f>
        <v>0</v>
      </c>
      <c r="H21" s="311">
        <f>'d3'!H21-'d3 до МВК'!H21</f>
        <v>0</v>
      </c>
      <c r="I21" s="311">
        <f>'d3'!I21-'d3 до МВК'!I21</f>
        <v>0</v>
      </c>
      <c r="J21" s="311">
        <f>'d3'!J21-'d3 до МВК'!J21</f>
        <v>0</v>
      </c>
      <c r="K21" s="311">
        <f>'d3'!K21-'d3 до МВК'!K21</f>
        <v>0</v>
      </c>
      <c r="L21" s="311">
        <f>'d3'!L21-'d3 до МВК'!L21</f>
        <v>0</v>
      </c>
      <c r="M21" s="311">
        <f>'d3'!M21-'d3 до МВК'!M21</f>
        <v>0</v>
      </c>
      <c r="N21" s="311">
        <f>'d3'!N21-'d3 до МВК'!N21</f>
        <v>0</v>
      </c>
      <c r="O21" s="311">
        <f>'d3'!O21-'d3 до МВК'!O21</f>
        <v>0</v>
      </c>
      <c r="P21" s="311">
        <f>'d3'!P21-'d3 до МВК'!P21</f>
        <v>0</v>
      </c>
    </row>
    <row r="22" spans="1:16" ht="274.5" x14ac:dyDescent="0.2">
      <c r="A22" s="454" t="s">
        <v>344</v>
      </c>
      <c r="B22" s="454" t="s">
        <v>345</v>
      </c>
      <c r="C22" s="454" t="s">
        <v>71</v>
      </c>
      <c r="D22" s="454" t="s">
        <v>346</v>
      </c>
      <c r="E22" s="311">
        <f>'d3'!E22-'d3 до МВК'!E22</f>
        <v>0</v>
      </c>
      <c r="F22" s="311">
        <f>'d3'!F22-'d3 до МВК'!F22</f>
        <v>0</v>
      </c>
      <c r="G22" s="311">
        <f>'d3'!G22-'d3 до МВК'!G22</f>
        <v>0</v>
      </c>
      <c r="H22" s="311">
        <f>'d3'!H22-'d3 до МВК'!H22</f>
        <v>0</v>
      </c>
      <c r="I22" s="311">
        <f>'d3'!I22-'d3 до МВК'!I22</f>
        <v>0</v>
      </c>
      <c r="J22" s="311">
        <f>'d3'!J22-'d3 до МВК'!J22</f>
        <v>0</v>
      </c>
      <c r="K22" s="311">
        <f>'d3'!K22-'d3 до МВК'!K22</f>
        <v>0</v>
      </c>
      <c r="L22" s="311">
        <f>'d3'!L22-'d3 до МВК'!L22</f>
        <v>0</v>
      </c>
      <c r="M22" s="311">
        <f>'d3'!M22-'d3 до МВК'!M22</f>
        <v>0</v>
      </c>
      <c r="N22" s="311">
        <f>'d3'!N22-'d3 до МВК'!N22</f>
        <v>0</v>
      </c>
      <c r="O22" s="311">
        <f>'d3'!O22-'d3 до МВК'!O22</f>
        <v>0</v>
      </c>
      <c r="P22" s="311">
        <f>'d3'!P22-'d3 до МВК'!P22</f>
        <v>0</v>
      </c>
    </row>
    <row r="23" spans="1:16" ht="91.5" x14ac:dyDescent="0.2">
      <c r="A23" s="454" t="s">
        <v>840</v>
      </c>
      <c r="B23" s="454" t="s">
        <v>587</v>
      </c>
      <c r="C23" s="454" t="s">
        <v>71</v>
      </c>
      <c r="D23" s="454" t="s">
        <v>588</v>
      </c>
      <c r="E23" s="311">
        <f>'d3'!E23-'d3 до МВК'!E23</f>
        <v>0</v>
      </c>
      <c r="F23" s="311">
        <f>'d3'!F23-'d3 до МВК'!F23</f>
        <v>0</v>
      </c>
      <c r="G23" s="311">
        <f>'d3'!G23-'d3 до МВК'!G23</f>
        <v>0</v>
      </c>
      <c r="H23" s="311">
        <f>'d3'!H23-'d3 до МВК'!H23</f>
        <v>0</v>
      </c>
      <c r="I23" s="311">
        <f>'d3'!I23-'d3 до МВК'!I23</f>
        <v>0</v>
      </c>
      <c r="J23" s="311">
        <f>'d3'!J23-'d3 до МВК'!J23</f>
        <v>0</v>
      </c>
      <c r="K23" s="311">
        <f>'d3'!K23-'d3 до МВК'!K23</f>
        <v>0</v>
      </c>
      <c r="L23" s="311">
        <f>'d3'!L23-'d3 до МВК'!L23</f>
        <v>0</v>
      </c>
      <c r="M23" s="311">
        <f>'d3'!M23-'d3 до МВК'!M23</f>
        <v>0</v>
      </c>
      <c r="N23" s="311">
        <f>'d3'!N23-'d3 до МВК'!N23</f>
        <v>0</v>
      </c>
      <c r="O23" s="311">
        <f>'d3'!O23-'d3 до МВК'!O23</f>
        <v>0</v>
      </c>
      <c r="P23" s="311">
        <f>'d3'!P23-'d3 до МВК'!P23</f>
        <v>0</v>
      </c>
    </row>
    <row r="24" spans="1:16" ht="183" customHeight="1" x14ac:dyDescent="0.2">
      <c r="A24" s="454" t="s">
        <v>842</v>
      </c>
      <c r="B24" s="454" t="s">
        <v>843</v>
      </c>
      <c r="C24" s="454" t="s">
        <v>71</v>
      </c>
      <c r="D24" s="454" t="s">
        <v>841</v>
      </c>
      <c r="E24" s="311">
        <f>'d3'!E24-'d3 до МВК'!E24</f>
        <v>70000</v>
      </c>
      <c r="F24" s="311">
        <f>'d3'!F24-'d3 до МВК'!F24</f>
        <v>70000</v>
      </c>
      <c r="G24" s="311">
        <f>'d3'!G24-'d3 до МВК'!G24</f>
        <v>0</v>
      </c>
      <c r="H24" s="311">
        <f>'d3'!H24-'d3 до МВК'!H24</f>
        <v>0</v>
      </c>
      <c r="I24" s="311">
        <f>'d3'!I24-'d3 до МВК'!I24</f>
        <v>0</v>
      </c>
      <c r="J24" s="311">
        <f>'d3'!J24-'d3 до МВК'!J24</f>
        <v>0</v>
      </c>
      <c r="K24" s="311">
        <f>'d3'!K24-'d3 до МВК'!K24</f>
        <v>0</v>
      </c>
      <c r="L24" s="311">
        <f>'d3'!L24-'d3 до МВК'!L24</f>
        <v>0</v>
      </c>
      <c r="M24" s="311">
        <f>'d3'!M24-'d3 до МВК'!M24</f>
        <v>0</v>
      </c>
      <c r="N24" s="311">
        <f>'d3'!N24-'d3 до МВК'!N24</f>
        <v>0</v>
      </c>
      <c r="O24" s="311">
        <f>'d3'!O24-'d3 до МВК'!O24</f>
        <v>0</v>
      </c>
      <c r="P24" s="311">
        <f>'d3'!P24-'d3 до МВК'!P24</f>
        <v>70000</v>
      </c>
    </row>
    <row r="25" spans="1:16" ht="135" x14ac:dyDescent="0.2">
      <c r="A25" s="327" t="s">
        <v>232</v>
      </c>
      <c r="B25" s="327"/>
      <c r="C25" s="327"/>
      <c r="D25" s="328" t="s">
        <v>0</v>
      </c>
      <c r="E25" s="329">
        <f>E26</f>
        <v>0</v>
      </c>
      <c r="F25" s="329">
        <f t="shared" ref="F25:G25" si="5">F26</f>
        <v>0</v>
      </c>
      <c r="G25" s="329">
        <f t="shared" si="5"/>
        <v>0</v>
      </c>
      <c r="H25" s="329">
        <f>H26</f>
        <v>0</v>
      </c>
      <c r="I25" s="329">
        <f t="shared" ref="I25" si="6">I26</f>
        <v>0</v>
      </c>
      <c r="J25" s="329">
        <f>J26</f>
        <v>0</v>
      </c>
      <c r="K25" s="329">
        <f>K26</f>
        <v>0</v>
      </c>
      <c r="L25" s="329">
        <f>L26</f>
        <v>0</v>
      </c>
      <c r="M25" s="329">
        <f t="shared" ref="M25" si="7">M26</f>
        <v>0</v>
      </c>
      <c r="N25" s="329">
        <f>N26</f>
        <v>0</v>
      </c>
      <c r="O25" s="329">
        <f>O26</f>
        <v>0</v>
      </c>
      <c r="P25" s="329">
        <f t="shared" ref="P25" si="8">P26</f>
        <v>0</v>
      </c>
    </row>
    <row r="26" spans="1:16" ht="135" x14ac:dyDescent="0.2">
      <c r="A26" s="324" t="s">
        <v>233</v>
      </c>
      <c r="B26" s="324"/>
      <c r="C26" s="324"/>
      <c r="D26" s="325" t="s">
        <v>1</v>
      </c>
      <c r="E26" s="326">
        <f>SUM(E27:E38)</f>
        <v>0</v>
      </c>
      <c r="F26" s="326">
        <f>SUM(F27:F38)</f>
        <v>0</v>
      </c>
      <c r="G26" s="326">
        <f>SUM(G27:G38)</f>
        <v>0</v>
      </c>
      <c r="H26" s="326">
        <f>SUM(H27:H38)</f>
        <v>0</v>
      </c>
      <c r="I26" s="326">
        <f>SUM(I27:I38)</f>
        <v>0</v>
      </c>
      <c r="J26" s="326">
        <f>L26+O26</f>
        <v>0</v>
      </c>
      <c r="K26" s="326">
        <f>SUM(K27:K38)</f>
        <v>0</v>
      </c>
      <c r="L26" s="326">
        <f>SUM(L27:L38)</f>
        <v>0</v>
      </c>
      <c r="M26" s="326">
        <f>SUM(M27:M38)</f>
        <v>0</v>
      </c>
      <c r="N26" s="326">
        <f>SUM(N27:N38)</f>
        <v>0</v>
      </c>
      <c r="O26" s="326">
        <f>SUM(O27:O38)</f>
        <v>0</v>
      </c>
      <c r="P26" s="326">
        <f t="shared" ref="P26" si="9">E26+J26</f>
        <v>0</v>
      </c>
    </row>
    <row r="27" spans="1:16" ht="46.5" x14ac:dyDescent="0.2">
      <c r="A27" s="454" t="s">
        <v>288</v>
      </c>
      <c r="B27" s="454" t="s">
        <v>289</v>
      </c>
      <c r="C27" s="454" t="s">
        <v>291</v>
      </c>
      <c r="D27" s="454" t="s">
        <v>292</v>
      </c>
      <c r="E27" s="311">
        <f>'d3'!E27-'d3 до МВК'!E27</f>
        <v>0</v>
      </c>
      <c r="F27" s="311">
        <f>'d3'!F27-'d3 до МВК'!F27</f>
        <v>0</v>
      </c>
      <c r="G27" s="311">
        <f>'d3'!G27-'d3 до МВК'!G27</f>
        <v>0</v>
      </c>
      <c r="H27" s="311">
        <f>'d3'!H27-'d3 до МВК'!H27</f>
        <v>0</v>
      </c>
      <c r="I27" s="311">
        <f>'d3'!I27-'d3 до МВК'!I27</f>
        <v>0</v>
      </c>
      <c r="J27" s="311">
        <f>'d3'!J27-'d3 до МВК'!J27</f>
        <v>0</v>
      </c>
      <c r="K27" s="311">
        <f>'d3'!K27-'d3 до МВК'!K27</f>
        <v>0</v>
      </c>
      <c r="L27" s="311">
        <f>'d3'!L27-'d3 до МВК'!L27</f>
        <v>0</v>
      </c>
      <c r="M27" s="311">
        <f>'d3'!M27-'d3 до МВК'!M27</f>
        <v>0</v>
      </c>
      <c r="N27" s="311">
        <f>'d3'!N27-'d3 до МВК'!N27</f>
        <v>0</v>
      </c>
      <c r="O27" s="311">
        <f>'d3'!O27-'d3 до МВК'!O27</f>
        <v>0</v>
      </c>
      <c r="P27" s="311">
        <f>'d3'!P27-'d3 до МВК'!P27</f>
        <v>0</v>
      </c>
    </row>
    <row r="28" spans="1:16" ht="366" x14ac:dyDescent="0.2">
      <c r="A28" s="454" t="s">
        <v>294</v>
      </c>
      <c r="B28" s="454" t="s">
        <v>290</v>
      </c>
      <c r="C28" s="454" t="s">
        <v>295</v>
      </c>
      <c r="D28" s="454" t="s">
        <v>612</v>
      </c>
      <c r="E28" s="311">
        <f>'d3'!E28-'d3 до МВК'!E28</f>
        <v>0</v>
      </c>
      <c r="F28" s="311">
        <f>'d3'!F28-'d3 до МВК'!F28</f>
        <v>0</v>
      </c>
      <c r="G28" s="311">
        <f>'d3'!G28-'d3 до МВК'!G28</f>
        <v>0</v>
      </c>
      <c r="H28" s="311">
        <f>'d3'!H28-'d3 до МВК'!H28</f>
        <v>0</v>
      </c>
      <c r="I28" s="311">
        <f>'d3'!I28-'d3 до МВК'!I28</f>
        <v>0</v>
      </c>
      <c r="J28" s="311">
        <f>'d3'!J28-'d3 до МВК'!J28</f>
        <v>0</v>
      </c>
      <c r="K28" s="311">
        <f>'d3'!K28-'d3 до МВК'!K28</f>
        <v>0</v>
      </c>
      <c r="L28" s="311">
        <f>'d3'!L28-'d3 до МВК'!L28</f>
        <v>0</v>
      </c>
      <c r="M28" s="311">
        <f>'d3'!M28-'d3 до МВК'!M28</f>
        <v>0</v>
      </c>
      <c r="N28" s="311">
        <f>'d3'!N28-'d3 до МВК'!N28</f>
        <v>0</v>
      </c>
      <c r="O28" s="311">
        <f>'d3'!O28-'d3 до МВК'!O28</f>
        <v>0</v>
      </c>
      <c r="P28" s="311">
        <f>'d3'!P28-'d3 до МВК'!P28</f>
        <v>0</v>
      </c>
    </row>
    <row r="29" spans="1:16" ht="366" x14ac:dyDescent="0.2">
      <c r="A29" s="454" t="s">
        <v>298</v>
      </c>
      <c r="B29" s="454" t="s">
        <v>297</v>
      </c>
      <c r="C29" s="454" t="s">
        <v>299</v>
      </c>
      <c r="D29" s="454" t="s">
        <v>32</v>
      </c>
      <c r="E29" s="311">
        <f>'d3'!E29-'d3 до МВК'!E29</f>
        <v>0</v>
      </c>
      <c r="F29" s="311">
        <f>'d3'!F29-'d3 до МВК'!F29</f>
        <v>0</v>
      </c>
      <c r="G29" s="311">
        <f>'d3'!G29-'d3 до МВК'!G29</f>
        <v>0</v>
      </c>
      <c r="H29" s="311">
        <f>'d3'!H29-'d3 до МВК'!H29</f>
        <v>0</v>
      </c>
      <c r="I29" s="311">
        <f>'d3'!I29-'d3 до МВК'!I29</f>
        <v>0</v>
      </c>
      <c r="J29" s="311">
        <f>'d3'!J29-'d3 до МВК'!J29</f>
        <v>0</v>
      </c>
      <c r="K29" s="311">
        <f>'d3'!K29-'d3 до МВК'!K29</f>
        <v>0</v>
      </c>
      <c r="L29" s="311">
        <f>'d3'!L29-'d3 до МВК'!L29</f>
        <v>0</v>
      </c>
      <c r="M29" s="311">
        <f>'d3'!M29-'d3 до МВК'!M29</f>
        <v>0</v>
      </c>
      <c r="N29" s="311">
        <f>'d3'!N29-'d3 до МВК'!N29</f>
        <v>0</v>
      </c>
      <c r="O29" s="311">
        <f>'d3'!O29-'d3 до МВК'!O29</f>
        <v>0</v>
      </c>
      <c r="P29" s="311">
        <f>'d3'!P29-'d3 до МВК'!P29</f>
        <v>0</v>
      </c>
    </row>
    <row r="30" spans="1:16" ht="183" x14ac:dyDescent="0.2">
      <c r="A30" s="454" t="s">
        <v>300</v>
      </c>
      <c r="B30" s="454" t="s">
        <v>281</v>
      </c>
      <c r="C30" s="454" t="s">
        <v>269</v>
      </c>
      <c r="D30" s="454" t="s">
        <v>33</v>
      </c>
      <c r="E30" s="311">
        <f>'d3'!E30-'d3 до МВК'!E30</f>
        <v>0</v>
      </c>
      <c r="F30" s="311">
        <f>'d3'!F30-'d3 до МВК'!F30</f>
        <v>0</v>
      </c>
      <c r="G30" s="311">
        <f>'d3'!G30-'d3 до МВК'!G30</f>
        <v>0</v>
      </c>
      <c r="H30" s="311">
        <f>'d3'!H30-'d3 до МВК'!H30</f>
        <v>0</v>
      </c>
      <c r="I30" s="311">
        <f>'d3'!I30-'d3 до МВК'!I30</f>
        <v>0</v>
      </c>
      <c r="J30" s="311">
        <f>'d3'!J30-'d3 до МВК'!J30</f>
        <v>0</v>
      </c>
      <c r="K30" s="311">
        <f>'d3'!K30-'d3 до МВК'!K30</f>
        <v>0</v>
      </c>
      <c r="L30" s="311">
        <f>'d3'!L30-'d3 до МВК'!L30</f>
        <v>0</v>
      </c>
      <c r="M30" s="311">
        <f>'d3'!M30-'d3 до МВК'!M30</f>
        <v>0</v>
      </c>
      <c r="N30" s="311">
        <f>'d3'!N30-'d3 до МВК'!N30</f>
        <v>0</v>
      </c>
      <c r="O30" s="311">
        <f>'d3'!O30-'d3 до МВК'!O30</f>
        <v>0</v>
      </c>
      <c r="P30" s="311">
        <f>'d3'!P30-'d3 до МВК'!P30</f>
        <v>0</v>
      </c>
    </row>
    <row r="31" spans="1:16" ht="137.25" x14ac:dyDescent="0.2">
      <c r="A31" s="454" t="s">
        <v>301</v>
      </c>
      <c r="B31" s="454" t="s">
        <v>302</v>
      </c>
      <c r="C31" s="454" t="s">
        <v>303</v>
      </c>
      <c r="D31" s="454" t="s">
        <v>304</v>
      </c>
      <c r="E31" s="311">
        <f>'d3'!E31-'d3 до МВК'!E31</f>
        <v>0</v>
      </c>
      <c r="F31" s="311">
        <f>'d3'!F31-'d3 до МВК'!F31</f>
        <v>0</v>
      </c>
      <c r="G31" s="311">
        <f>'d3'!G31-'d3 до МВК'!G31</f>
        <v>0</v>
      </c>
      <c r="H31" s="311">
        <f>'d3'!H31-'d3 до МВК'!H31</f>
        <v>0</v>
      </c>
      <c r="I31" s="311">
        <f>'d3'!I31-'d3 до МВК'!I31</f>
        <v>0</v>
      </c>
      <c r="J31" s="311">
        <f>'d3'!J31-'d3 до МВК'!J31</f>
        <v>0</v>
      </c>
      <c r="K31" s="311">
        <f>'d3'!K31-'d3 до МВК'!K31</f>
        <v>0</v>
      </c>
      <c r="L31" s="311">
        <f>'d3'!L31-'d3 до МВК'!L31</f>
        <v>0</v>
      </c>
      <c r="M31" s="311">
        <f>'d3'!M31-'d3 до МВК'!M31</f>
        <v>0</v>
      </c>
      <c r="N31" s="311">
        <f>'d3'!N31-'d3 до МВК'!N31</f>
        <v>0</v>
      </c>
      <c r="O31" s="311">
        <f>'d3'!O31-'d3 до МВК'!O31</f>
        <v>0</v>
      </c>
      <c r="P31" s="311">
        <f>'d3'!P31-'d3 до МВК'!P31</f>
        <v>0</v>
      </c>
    </row>
    <row r="32" spans="1:16" ht="91.5" x14ac:dyDescent="0.2">
      <c r="A32" s="454" t="s">
        <v>306</v>
      </c>
      <c r="B32" s="454" t="s">
        <v>307</v>
      </c>
      <c r="C32" s="454" t="s">
        <v>308</v>
      </c>
      <c r="D32" s="454" t="s">
        <v>305</v>
      </c>
      <c r="E32" s="311">
        <f>'d3'!E32-'d3 до МВК'!E32</f>
        <v>0</v>
      </c>
      <c r="F32" s="311">
        <f>'d3'!F32-'d3 до МВК'!F32</f>
        <v>0</v>
      </c>
      <c r="G32" s="311">
        <f>'d3'!G32-'d3 до МВК'!G32</f>
        <v>0</v>
      </c>
      <c r="H32" s="311">
        <f>'d3'!H32-'d3 до МВК'!H32</f>
        <v>0</v>
      </c>
      <c r="I32" s="311">
        <f>'d3'!I32-'d3 до МВК'!I32</f>
        <v>0</v>
      </c>
      <c r="J32" s="311">
        <f>'d3'!J32-'d3 до МВК'!J32</f>
        <v>0</v>
      </c>
      <c r="K32" s="311">
        <f>'d3'!K32-'d3 до МВК'!K32</f>
        <v>0</v>
      </c>
      <c r="L32" s="311">
        <f>'d3'!L32-'d3 до МВК'!L32</f>
        <v>0</v>
      </c>
      <c r="M32" s="311">
        <f>'d3'!M32-'d3 до МВК'!M32</f>
        <v>0</v>
      </c>
      <c r="N32" s="311">
        <f>'d3'!N32-'d3 до МВК'!N32</f>
        <v>0</v>
      </c>
      <c r="O32" s="311">
        <f>'d3'!O32-'d3 до МВК'!O32</f>
        <v>0</v>
      </c>
      <c r="P32" s="311">
        <f>'d3'!P32-'d3 до МВК'!P32</f>
        <v>0</v>
      </c>
    </row>
    <row r="33" spans="1:16" s="118" customFormat="1" ht="91.5" x14ac:dyDescent="0.2">
      <c r="A33" s="449" t="s">
        <v>491</v>
      </c>
      <c r="B33" s="449" t="s">
        <v>492</v>
      </c>
      <c r="C33" s="449" t="s">
        <v>308</v>
      </c>
      <c r="D33" s="449" t="s">
        <v>490</v>
      </c>
      <c r="E33" s="311">
        <f>'d3'!E33-'d3 до МВК'!E33</f>
        <v>0</v>
      </c>
      <c r="F33" s="311">
        <f>'d3'!F33-'d3 до МВК'!F33</f>
        <v>0</v>
      </c>
      <c r="G33" s="311">
        <f>'d3'!G33-'d3 до МВК'!G33</f>
        <v>0</v>
      </c>
      <c r="H33" s="311">
        <f>'d3'!H33-'d3 до МВК'!H33</f>
        <v>0</v>
      </c>
      <c r="I33" s="311">
        <f>'d3'!I33-'d3 до МВК'!I33</f>
        <v>0</v>
      </c>
      <c r="J33" s="311">
        <f>'d3'!J33-'d3 до МВК'!J33</f>
        <v>0</v>
      </c>
      <c r="K33" s="311">
        <f>'d3'!K33-'d3 до МВК'!K33</f>
        <v>0</v>
      </c>
      <c r="L33" s="311">
        <f>'d3'!L33-'d3 до МВК'!L33</f>
        <v>0</v>
      </c>
      <c r="M33" s="311">
        <f>'d3'!M33-'d3 до МВК'!M33</f>
        <v>0</v>
      </c>
      <c r="N33" s="311">
        <f>'d3'!N33-'d3 до МВК'!N33</f>
        <v>0</v>
      </c>
      <c r="O33" s="311">
        <f>'d3'!O33-'d3 до МВК'!O33</f>
        <v>0</v>
      </c>
      <c r="P33" s="311">
        <f>'d3'!P33-'d3 до МВК'!P33</f>
        <v>0</v>
      </c>
    </row>
    <row r="34" spans="1:16" s="118" customFormat="1" ht="91.5" x14ac:dyDescent="0.2">
      <c r="A34" s="449" t="s">
        <v>523</v>
      </c>
      <c r="B34" s="449" t="s">
        <v>524</v>
      </c>
      <c r="C34" s="449" t="s">
        <v>308</v>
      </c>
      <c r="D34" s="454" t="s">
        <v>522</v>
      </c>
      <c r="E34" s="311">
        <f>'d3'!E34-'d3 до МВК'!E34</f>
        <v>0</v>
      </c>
      <c r="F34" s="311">
        <f>'d3'!F34-'d3 до МВК'!F34</f>
        <v>0</v>
      </c>
      <c r="G34" s="311">
        <f>'d3'!G34-'d3 до МВК'!G34</f>
        <v>0</v>
      </c>
      <c r="H34" s="311">
        <f>'d3'!H34-'d3 до МВК'!H34</f>
        <v>0</v>
      </c>
      <c r="I34" s="311">
        <f>'d3'!I34-'d3 до МВК'!I34</f>
        <v>0</v>
      </c>
      <c r="J34" s="311">
        <f>'d3'!J34-'d3 до МВК'!J34</f>
        <v>0</v>
      </c>
      <c r="K34" s="311">
        <f>'d3'!K34-'d3 до МВК'!K34</f>
        <v>0</v>
      </c>
      <c r="L34" s="311">
        <f>'d3'!L34-'d3 до МВК'!L34</f>
        <v>0</v>
      </c>
      <c r="M34" s="311">
        <f>'d3'!M34-'d3 до МВК'!M34</f>
        <v>0</v>
      </c>
      <c r="N34" s="311">
        <f>'d3'!N34-'d3 до МВК'!N34</f>
        <v>0</v>
      </c>
      <c r="O34" s="311">
        <f>'d3'!O34-'d3 до МВК'!O34</f>
        <v>0</v>
      </c>
      <c r="P34" s="311">
        <f>'d3'!P34-'d3 до МВК'!P34</f>
        <v>0</v>
      </c>
    </row>
    <row r="35" spans="1:16" s="118" customFormat="1" ht="91.5" x14ac:dyDescent="0.2">
      <c r="A35" s="449" t="s">
        <v>797</v>
      </c>
      <c r="B35" s="449" t="s">
        <v>798</v>
      </c>
      <c r="C35" s="449" t="s">
        <v>308</v>
      </c>
      <c r="D35" s="454" t="s">
        <v>799</v>
      </c>
      <c r="E35" s="311">
        <f>'d3'!E35-'d3 до МВК'!E35</f>
        <v>0</v>
      </c>
      <c r="F35" s="311">
        <f>'d3'!F35-'d3 до МВК'!F35</f>
        <v>0</v>
      </c>
      <c r="G35" s="311">
        <f>'d3'!G35-'d3 до МВК'!G35</f>
        <v>0</v>
      </c>
      <c r="H35" s="311">
        <f>'d3'!H35-'d3 до МВК'!H35</f>
        <v>0</v>
      </c>
      <c r="I35" s="311">
        <f>'d3'!I35-'d3 до МВК'!I35</f>
        <v>0</v>
      </c>
      <c r="J35" s="311">
        <f>'d3'!J35-'d3 до МВК'!J35</f>
        <v>0</v>
      </c>
      <c r="K35" s="311">
        <f>'d3'!K35-'d3 до МВК'!K35</f>
        <v>0</v>
      </c>
      <c r="L35" s="311">
        <f>'d3'!L35-'d3 до МВК'!L35</f>
        <v>0</v>
      </c>
      <c r="M35" s="311">
        <f>'d3'!M35-'d3 до МВК'!M35</f>
        <v>0</v>
      </c>
      <c r="N35" s="311">
        <f>'d3'!N35-'d3 до МВК'!N35</f>
        <v>0</v>
      </c>
      <c r="O35" s="311">
        <f>'d3'!O35-'d3 до МВК'!O35</f>
        <v>0</v>
      </c>
      <c r="P35" s="311">
        <f>'d3'!P35-'d3 до МВК'!P35</f>
        <v>0</v>
      </c>
    </row>
    <row r="36" spans="1:16" s="118" customFormat="1" ht="366" x14ac:dyDescent="0.2">
      <c r="A36" s="454" t="s">
        <v>801</v>
      </c>
      <c r="B36" s="454" t="s">
        <v>802</v>
      </c>
      <c r="C36" s="454" t="s">
        <v>273</v>
      </c>
      <c r="D36" s="454" t="s">
        <v>800</v>
      </c>
      <c r="E36" s="311">
        <f>'d3'!E36-'d3 до МВК'!E36</f>
        <v>0</v>
      </c>
      <c r="F36" s="311">
        <f>'d3'!F36-'d3 до МВК'!F36</f>
        <v>0</v>
      </c>
      <c r="G36" s="311">
        <f>'d3'!G36-'d3 до МВК'!G36</f>
        <v>0</v>
      </c>
      <c r="H36" s="311">
        <f>'d3'!H36-'d3 до МВК'!H36</f>
        <v>0</v>
      </c>
      <c r="I36" s="311">
        <f>'d3'!I36-'d3 до МВК'!I36</f>
        <v>0</v>
      </c>
      <c r="J36" s="311">
        <f>'d3'!J36-'d3 до МВК'!J36</f>
        <v>0</v>
      </c>
      <c r="K36" s="311">
        <f>'d3'!K36-'d3 до МВК'!K36</f>
        <v>0</v>
      </c>
      <c r="L36" s="311">
        <f>'d3'!L36-'d3 до МВК'!L36</f>
        <v>0</v>
      </c>
      <c r="M36" s="311">
        <f>'d3'!M36-'d3 до МВК'!M36</f>
        <v>0</v>
      </c>
      <c r="N36" s="311">
        <f>'d3'!N36-'d3 до МВК'!N36</f>
        <v>0</v>
      </c>
      <c r="O36" s="311">
        <f>'d3'!O36-'d3 до МВК'!O36</f>
        <v>0</v>
      </c>
      <c r="P36" s="311">
        <f>'d3'!P36-'d3 до МВК'!P36</f>
        <v>0</v>
      </c>
    </row>
    <row r="37" spans="1:16" s="118" customFormat="1" ht="183" x14ac:dyDescent="0.2">
      <c r="A37" s="454" t="s">
        <v>975</v>
      </c>
      <c r="B37" s="454" t="s">
        <v>974</v>
      </c>
      <c r="C37" s="454" t="s">
        <v>285</v>
      </c>
      <c r="D37" s="454" t="s">
        <v>976</v>
      </c>
      <c r="E37" s="311">
        <f>'d3'!E37-'d3 до МВК'!E37</f>
        <v>0</v>
      </c>
      <c r="F37" s="311">
        <f>'d3'!F37-'d3 до МВК'!F37</f>
        <v>0</v>
      </c>
      <c r="G37" s="311">
        <f>'d3'!G37-'d3 до МВК'!G37</f>
        <v>0</v>
      </c>
      <c r="H37" s="311">
        <f>'d3'!H37-'d3 до МВК'!H37</f>
        <v>0</v>
      </c>
      <c r="I37" s="311">
        <f>'d3'!I37-'d3 до МВК'!I37</f>
        <v>0</v>
      </c>
      <c r="J37" s="311">
        <f>'d3'!J37-'d3 до МВК'!J37</f>
        <v>0</v>
      </c>
      <c r="K37" s="311">
        <f>'d3'!K37-'d3 до МВК'!K37</f>
        <v>0</v>
      </c>
      <c r="L37" s="311">
        <f>'d3'!L37-'d3 до МВК'!L37</f>
        <v>0</v>
      </c>
      <c r="M37" s="311">
        <f>'d3'!M37-'d3 до МВК'!M37</f>
        <v>0</v>
      </c>
      <c r="N37" s="311">
        <f>'d3'!N37-'d3 до МВК'!N37</f>
        <v>0</v>
      </c>
      <c r="O37" s="311">
        <f>'d3'!O37-'d3 до МВК'!O37</f>
        <v>0</v>
      </c>
      <c r="P37" s="311">
        <f>'d3'!P37-'d3 до МВК'!P37</f>
        <v>0</v>
      </c>
    </row>
    <row r="38" spans="1:16" s="118" customFormat="1" ht="46.5" x14ac:dyDescent="0.2">
      <c r="A38" s="454" t="s">
        <v>310</v>
      </c>
      <c r="B38" s="454" t="s">
        <v>311</v>
      </c>
      <c r="C38" s="454" t="s">
        <v>312</v>
      </c>
      <c r="D38" s="454" t="s">
        <v>67</v>
      </c>
      <c r="E38" s="311">
        <f>'d3'!E38-'d3 до МВК'!E38</f>
        <v>0</v>
      </c>
      <c r="F38" s="311">
        <f>'d3'!F38-'d3 до МВК'!F38</f>
        <v>0</v>
      </c>
      <c r="G38" s="311">
        <f>'d3'!G38-'d3 до МВК'!G38</f>
        <v>0</v>
      </c>
      <c r="H38" s="311">
        <f>'d3'!H38-'d3 до МВК'!H38</f>
        <v>0</v>
      </c>
      <c r="I38" s="311">
        <f>'d3'!I38-'d3 до МВК'!I38</f>
        <v>0</v>
      </c>
      <c r="J38" s="311">
        <f>'d3'!J38-'d3 до МВК'!J38</f>
        <v>0</v>
      </c>
      <c r="K38" s="311">
        <f>'d3'!K38-'d3 до МВК'!K38</f>
        <v>0</v>
      </c>
      <c r="L38" s="311">
        <f>'d3'!L38-'d3 до МВК'!L38</f>
        <v>0</v>
      </c>
      <c r="M38" s="311">
        <f>'d3'!M38-'d3 до МВК'!M38</f>
        <v>0</v>
      </c>
      <c r="N38" s="311">
        <f>'d3'!N38-'d3 до МВК'!N38</f>
        <v>0</v>
      </c>
      <c r="O38" s="311">
        <f>'d3'!O38-'d3 до МВК'!O38</f>
        <v>0</v>
      </c>
      <c r="P38" s="311">
        <f>'d3'!P38-'d3 до МВК'!P38</f>
        <v>0</v>
      </c>
    </row>
    <row r="39" spans="1:16" ht="135" x14ac:dyDescent="0.2">
      <c r="A39" s="327" t="s">
        <v>234</v>
      </c>
      <c r="B39" s="327"/>
      <c r="C39" s="327"/>
      <c r="D39" s="328" t="s">
        <v>36</v>
      </c>
      <c r="E39" s="329">
        <f>E40</f>
        <v>0</v>
      </c>
      <c r="F39" s="329">
        <f t="shared" ref="F39:G39" si="10">F40</f>
        <v>0</v>
      </c>
      <c r="G39" s="329">
        <f t="shared" si="10"/>
        <v>0</v>
      </c>
      <c r="H39" s="329">
        <f>H40</f>
        <v>0</v>
      </c>
      <c r="I39" s="329">
        <f t="shared" ref="I39" si="11">I40</f>
        <v>0</v>
      </c>
      <c r="J39" s="329">
        <f>J40</f>
        <v>0</v>
      </c>
      <c r="K39" s="329">
        <f>K40</f>
        <v>0</v>
      </c>
      <c r="L39" s="329">
        <f>L40</f>
        <v>0</v>
      </c>
      <c r="M39" s="329">
        <f t="shared" ref="M39" si="12">M40</f>
        <v>0</v>
      </c>
      <c r="N39" s="329">
        <f>N40</f>
        <v>0</v>
      </c>
      <c r="O39" s="329">
        <f>O40</f>
        <v>0</v>
      </c>
      <c r="P39" s="329">
        <f>P40</f>
        <v>0</v>
      </c>
    </row>
    <row r="40" spans="1:16" ht="135" x14ac:dyDescent="0.2">
      <c r="A40" s="324" t="s">
        <v>235</v>
      </c>
      <c r="B40" s="324"/>
      <c r="C40" s="324"/>
      <c r="D40" s="325" t="s">
        <v>59</v>
      </c>
      <c r="E40" s="326">
        <f>SUM(E41:E52)</f>
        <v>0</v>
      </c>
      <c r="F40" s="326">
        <f t="shared" ref="F40:H40" si="13">SUM(F41:F52)</f>
        <v>0</v>
      </c>
      <c r="G40" s="326">
        <f t="shared" si="13"/>
        <v>0</v>
      </c>
      <c r="H40" s="326">
        <f t="shared" si="13"/>
        <v>0</v>
      </c>
      <c r="I40" s="326">
        <f>SUM(I41:I52)</f>
        <v>0</v>
      </c>
      <c r="J40" s="326">
        <f>L40+O40</f>
        <v>0</v>
      </c>
      <c r="K40" s="326">
        <f>SUM(K41:K52)</f>
        <v>0</v>
      </c>
      <c r="L40" s="326">
        <f t="shared" ref="L40:N40" si="14">SUM(L41:L52)</f>
        <v>0</v>
      </c>
      <c r="M40" s="326">
        <f t="shared" si="14"/>
        <v>0</v>
      </c>
      <c r="N40" s="326">
        <f t="shared" si="14"/>
        <v>0</v>
      </c>
      <c r="O40" s="326">
        <f>SUM(O41:O52)</f>
        <v>0</v>
      </c>
      <c r="P40" s="326">
        <f t="shared" ref="P40" si="15">E40+J40</f>
        <v>0</v>
      </c>
    </row>
    <row r="41" spans="1:16" ht="228.75" x14ac:dyDescent="0.2">
      <c r="A41" s="454" t="s">
        <v>705</v>
      </c>
      <c r="B41" s="454" t="s">
        <v>335</v>
      </c>
      <c r="C41" s="454" t="s">
        <v>333</v>
      </c>
      <c r="D41" s="454" t="s">
        <v>334</v>
      </c>
      <c r="E41" s="311">
        <f>'d3'!E41-'d3 до МВК'!E41</f>
        <v>0</v>
      </c>
      <c r="F41" s="311">
        <f>'d3'!F41-'d3 до МВК'!F41</f>
        <v>0</v>
      </c>
      <c r="G41" s="311">
        <f>'d3'!G41-'d3 до МВК'!G41</f>
        <v>0</v>
      </c>
      <c r="H41" s="311">
        <f>'d3'!H41-'d3 до МВК'!H41</f>
        <v>0</v>
      </c>
      <c r="I41" s="311">
        <f>'d3'!I41-'d3 до МВК'!I41</f>
        <v>0</v>
      </c>
      <c r="J41" s="311">
        <f>'d3'!J41-'d3 до МВК'!J41</f>
        <v>0</v>
      </c>
      <c r="K41" s="311">
        <f>'d3'!K41-'d3 до МВК'!K41</f>
        <v>0</v>
      </c>
      <c r="L41" s="311">
        <f>'d3'!L41-'d3 до МВК'!L41</f>
        <v>0</v>
      </c>
      <c r="M41" s="311">
        <f>'d3'!M41-'d3 до МВК'!M41</f>
        <v>0</v>
      </c>
      <c r="N41" s="311">
        <f>'d3'!N41-'d3 до МВК'!N41</f>
        <v>0</v>
      </c>
      <c r="O41" s="311">
        <f>'d3'!O41-'d3 до МВК'!O41</f>
        <v>0</v>
      </c>
      <c r="P41" s="311">
        <f>'d3'!P41-'d3 до МВК'!P41</f>
        <v>0</v>
      </c>
    </row>
    <row r="42" spans="1:16" ht="91.5" x14ac:dyDescent="0.2">
      <c r="A42" s="454" t="s">
        <v>313</v>
      </c>
      <c r="B42" s="454" t="s">
        <v>309</v>
      </c>
      <c r="C42" s="454" t="s">
        <v>314</v>
      </c>
      <c r="D42" s="454" t="s">
        <v>37</v>
      </c>
      <c r="E42" s="311">
        <f>'d3'!E42-'d3 до МВК'!E42</f>
        <v>0</v>
      </c>
      <c r="F42" s="311">
        <f>'d3'!F42-'d3 до МВК'!F42</f>
        <v>0</v>
      </c>
      <c r="G42" s="311">
        <f>'d3'!G42-'d3 до МВК'!G42</f>
        <v>0</v>
      </c>
      <c r="H42" s="311">
        <f>'d3'!H42-'d3 до МВК'!H42</f>
        <v>0</v>
      </c>
      <c r="I42" s="311">
        <f>'d3'!I42-'d3 до МВК'!I42</f>
        <v>0</v>
      </c>
      <c r="J42" s="311">
        <f>'d3'!J42-'d3 до МВК'!J42</f>
        <v>0</v>
      </c>
      <c r="K42" s="311">
        <f>'d3'!K42-'d3 до МВК'!K42</f>
        <v>0</v>
      </c>
      <c r="L42" s="311">
        <f>'d3'!L42-'d3 до МВК'!L42</f>
        <v>0</v>
      </c>
      <c r="M42" s="311">
        <f>'d3'!M42-'d3 до МВК'!M42</f>
        <v>0</v>
      </c>
      <c r="N42" s="311">
        <f>'d3'!N42-'d3 до МВК'!N42</f>
        <v>0</v>
      </c>
      <c r="O42" s="311">
        <f>'d3'!O42-'d3 до МВК'!O42</f>
        <v>0</v>
      </c>
      <c r="P42" s="311">
        <f>'d3'!P42-'d3 до МВК'!P42</f>
        <v>0</v>
      </c>
    </row>
    <row r="43" spans="1:16" ht="137.25" x14ac:dyDescent="0.2">
      <c r="A43" s="454" t="s">
        <v>315</v>
      </c>
      <c r="B43" s="454" t="s">
        <v>316</v>
      </c>
      <c r="C43" s="454" t="s">
        <v>317</v>
      </c>
      <c r="D43" s="454" t="s">
        <v>318</v>
      </c>
      <c r="E43" s="311">
        <f>'d3'!E43-'d3 до МВК'!E43</f>
        <v>0</v>
      </c>
      <c r="F43" s="311">
        <f>'d3'!F43-'d3 до МВК'!F43</f>
        <v>0</v>
      </c>
      <c r="G43" s="311">
        <f>'d3'!G43-'d3 до МВК'!G43</f>
        <v>0</v>
      </c>
      <c r="H43" s="311">
        <f>'d3'!H43-'d3 до МВК'!H43</f>
        <v>0</v>
      </c>
      <c r="I43" s="311">
        <f>'d3'!I43-'d3 до МВК'!I43</f>
        <v>0</v>
      </c>
      <c r="J43" s="311">
        <f>'d3'!J43-'d3 до МВК'!J43</f>
        <v>0</v>
      </c>
      <c r="K43" s="311">
        <f>'d3'!K43-'d3 до МВК'!K43</f>
        <v>0</v>
      </c>
      <c r="L43" s="311">
        <f>'d3'!L43-'d3 до МВК'!L43</f>
        <v>0</v>
      </c>
      <c r="M43" s="311">
        <f>'d3'!M43-'d3 до МВК'!M43</f>
        <v>0</v>
      </c>
      <c r="N43" s="311">
        <f>'d3'!N43-'d3 до МВК'!N43</f>
        <v>0</v>
      </c>
      <c r="O43" s="311">
        <f>'d3'!O43-'d3 до МВК'!O43</f>
        <v>0</v>
      </c>
      <c r="P43" s="311">
        <f>'d3'!P43-'d3 до МВК'!P43</f>
        <v>0</v>
      </c>
    </row>
    <row r="44" spans="1:16" ht="137.25" x14ac:dyDescent="0.2">
      <c r="A44" s="454" t="s">
        <v>319</v>
      </c>
      <c r="B44" s="454" t="s">
        <v>320</v>
      </c>
      <c r="C44" s="454" t="s">
        <v>321</v>
      </c>
      <c r="D44" s="454" t="s">
        <v>538</v>
      </c>
      <c r="E44" s="311">
        <f>'d3'!E44-'d3 до МВК'!E44</f>
        <v>0</v>
      </c>
      <c r="F44" s="311">
        <f>'d3'!F44-'d3 до МВК'!F44</f>
        <v>0</v>
      </c>
      <c r="G44" s="311">
        <f>'d3'!G44-'d3 до МВК'!G44</f>
        <v>0</v>
      </c>
      <c r="H44" s="311">
        <f>'d3'!H44-'d3 до МВК'!H44</f>
        <v>0</v>
      </c>
      <c r="I44" s="311">
        <f>'d3'!I44-'d3 до МВК'!I44</f>
        <v>0</v>
      </c>
      <c r="J44" s="311">
        <f>'d3'!J44-'d3 до МВК'!J44</f>
        <v>0</v>
      </c>
      <c r="K44" s="311">
        <f>'d3'!K44-'d3 до МВК'!K44</f>
        <v>0</v>
      </c>
      <c r="L44" s="311">
        <f>'d3'!L44-'d3 до МВК'!L44</f>
        <v>0</v>
      </c>
      <c r="M44" s="311">
        <f>'d3'!M44-'d3 до МВК'!M44</f>
        <v>0</v>
      </c>
      <c r="N44" s="311">
        <f>'d3'!N44-'d3 до МВК'!N44</f>
        <v>0</v>
      </c>
      <c r="O44" s="311">
        <f>'d3'!O44-'d3 до МВК'!O44</f>
        <v>0</v>
      </c>
      <c r="P44" s="311">
        <f>'d3'!P44-'d3 до МВК'!P44</f>
        <v>0</v>
      </c>
    </row>
    <row r="45" spans="1:16" ht="91.5" x14ac:dyDescent="0.2">
      <c r="A45" s="454" t="s">
        <v>322</v>
      </c>
      <c r="B45" s="454" t="s">
        <v>323</v>
      </c>
      <c r="C45" s="454" t="s">
        <v>324</v>
      </c>
      <c r="D45" s="454" t="s">
        <v>325</v>
      </c>
      <c r="E45" s="311">
        <f>'d3'!E45-'d3 до МВК'!E45</f>
        <v>0</v>
      </c>
      <c r="F45" s="311">
        <f>'d3'!F45-'d3 до МВК'!F45</f>
        <v>0</v>
      </c>
      <c r="G45" s="311">
        <f>'d3'!G45-'d3 до МВК'!G45</f>
        <v>0</v>
      </c>
      <c r="H45" s="311">
        <f>'d3'!H45-'d3 до МВК'!H45</f>
        <v>0</v>
      </c>
      <c r="I45" s="311">
        <f>'d3'!I45-'d3 до МВК'!I45</f>
        <v>0</v>
      </c>
      <c r="J45" s="311">
        <f>'d3'!J45-'d3 до МВК'!J45</f>
        <v>0</v>
      </c>
      <c r="K45" s="311">
        <f>'d3'!K45-'d3 до МВК'!K45</f>
        <v>0</v>
      </c>
      <c r="L45" s="311">
        <f>'d3'!L45-'d3 до МВК'!L45</f>
        <v>0</v>
      </c>
      <c r="M45" s="311">
        <f>'d3'!M45-'d3 до МВК'!M45</f>
        <v>0</v>
      </c>
      <c r="N45" s="311">
        <f>'d3'!N45-'d3 до МВК'!N45</f>
        <v>0</v>
      </c>
      <c r="O45" s="311">
        <f>'d3'!O45-'d3 до МВК'!O45</f>
        <v>0</v>
      </c>
      <c r="P45" s="311">
        <f>'d3'!P45-'d3 до МВК'!P45</f>
        <v>0</v>
      </c>
    </row>
    <row r="46" spans="1:16" ht="183" x14ac:dyDescent="0.2">
      <c r="A46" s="454" t="s">
        <v>326</v>
      </c>
      <c r="B46" s="449" t="s">
        <v>327</v>
      </c>
      <c r="C46" s="449" t="s">
        <v>539</v>
      </c>
      <c r="D46" s="454" t="s">
        <v>328</v>
      </c>
      <c r="E46" s="311">
        <f>'d3'!E46-'d3 до МВК'!E46</f>
        <v>0</v>
      </c>
      <c r="F46" s="311">
        <f>'d3'!F46-'d3 до МВК'!F46</f>
        <v>0</v>
      </c>
      <c r="G46" s="311">
        <f>'d3'!G46-'d3 до МВК'!G46</f>
        <v>0</v>
      </c>
      <c r="H46" s="311">
        <f>'d3'!H46-'d3 до МВК'!H46</f>
        <v>0</v>
      </c>
      <c r="I46" s="311">
        <f>'d3'!I46-'d3 до МВК'!I46</f>
        <v>0</v>
      </c>
      <c r="J46" s="311">
        <f>'d3'!J46-'d3 до МВК'!J46</f>
        <v>0</v>
      </c>
      <c r="K46" s="311">
        <f>'d3'!K46-'d3 до МВК'!K46</f>
        <v>0</v>
      </c>
      <c r="L46" s="311">
        <f>'d3'!L46-'d3 до МВК'!L46</f>
        <v>0</v>
      </c>
      <c r="M46" s="311">
        <f>'d3'!M46-'d3 до МВК'!M46</f>
        <v>0</v>
      </c>
      <c r="N46" s="311">
        <f>'d3'!N46-'d3 до МВК'!N46</f>
        <v>0</v>
      </c>
      <c r="O46" s="311">
        <f>'d3'!O46-'d3 до МВК'!O46</f>
        <v>0</v>
      </c>
      <c r="P46" s="311">
        <f>'d3'!P46-'d3 до МВК'!P46</f>
        <v>0</v>
      </c>
    </row>
    <row r="47" spans="1:16" ht="183" x14ac:dyDescent="0.2">
      <c r="A47" s="454" t="s">
        <v>577</v>
      </c>
      <c r="B47" s="454" t="s">
        <v>578</v>
      </c>
      <c r="C47" s="449" t="s">
        <v>329</v>
      </c>
      <c r="D47" s="269" t="s">
        <v>579</v>
      </c>
      <c r="E47" s="311">
        <f>'d3'!E47-'d3 до МВК'!E47</f>
        <v>0</v>
      </c>
      <c r="F47" s="311">
        <f>'d3'!F47-'d3 до МВК'!F47</f>
        <v>0</v>
      </c>
      <c r="G47" s="311">
        <f>'d3'!G47-'d3 до МВК'!G47</f>
        <v>0</v>
      </c>
      <c r="H47" s="311">
        <f>'d3'!H47-'d3 до МВК'!H47</f>
        <v>0</v>
      </c>
      <c r="I47" s="311">
        <f>'d3'!I47-'d3 до МВК'!I47</f>
        <v>0</v>
      </c>
      <c r="J47" s="311">
        <f>'d3'!J47-'d3 до МВК'!J47</f>
        <v>0</v>
      </c>
      <c r="K47" s="311">
        <f>'d3'!K47-'d3 до МВК'!K47</f>
        <v>0</v>
      </c>
      <c r="L47" s="311">
        <f>'d3'!L47-'d3 до МВК'!L47</f>
        <v>0</v>
      </c>
      <c r="M47" s="311">
        <f>'d3'!M47-'d3 до МВК'!M47</f>
        <v>0</v>
      </c>
      <c r="N47" s="311">
        <f>'d3'!N47-'d3 до МВК'!N47</f>
        <v>0</v>
      </c>
      <c r="O47" s="311">
        <f>'d3'!O47-'d3 до МВК'!O47</f>
        <v>0</v>
      </c>
      <c r="P47" s="311">
        <f>'d3'!P47-'d3 до МВК'!P47</f>
        <v>0</v>
      </c>
    </row>
    <row r="48" spans="1:16" ht="183" x14ac:dyDescent="0.2">
      <c r="A48" s="454" t="s">
        <v>582</v>
      </c>
      <c r="B48" s="454" t="s">
        <v>581</v>
      </c>
      <c r="C48" s="449" t="s">
        <v>329</v>
      </c>
      <c r="D48" s="269" t="s">
        <v>580</v>
      </c>
      <c r="E48" s="311">
        <f>'d3'!E48-'d3 до МВК'!E48</f>
        <v>0</v>
      </c>
      <c r="F48" s="311">
        <f>'d3'!F48-'d3 до МВК'!F48</f>
        <v>0</v>
      </c>
      <c r="G48" s="311">
        <f>'d3'!G48-'d3 до МВК'!G48</f>
        <v>0</v>
      </c>
      <c r="H48" s="311">
        <f>'d3'!H48-'d3 до МВК'!H48</f>
        <v>0</v>
      </c>
      <c r="I48" s="311">
        <f>'d3'!I48-'d3 до МВК'!I48</f>
        <v>0</v>
      </c>
      <c r="J48" s="311">
        <f>'d3'!J48-'d3 до МВК'!J48</f>
        <v>0</v>
      </c>
      <c r="K48" s="311">
        <f>'d3'!K48-'d3 до МВК'!K48</f>
        <v>0</v>
      </c>
      <c r="L48" s="311">
        <f>'d3'!L48-'d3 до МВК'!L48</f>
        <v>0</v>
      </c>
      <c r="M48" s="311">
        <f>'d3'!M48-'d3 до МВК'!M48</f>
        <v>0</v>
      </c>
      <c r="N48" s="311">
        <f>'d3'!N48-'d3 до МВК'!N48</f>
        <v>0</v>
      </c>
      <c r="O48" s="311">
        <f>'d3'!O48-'d3 до МВК'!O48</f>
        <v>0</v>
      </c>
      <c r="P48" s="311">
        <f>'d3'!P48-'d3 до МВК'!P48</f>
        <v>0</v>
      </c>
    </row>
    <row r="49" spans="1:16" s="118" customFormat="1" ht="137.25" x14ac:dyDescent="0.2">
      <c r="A49" s="454" t="s">
        <v>495</v>
      </c>
      <c r="B49" s="454" t="s">
        <v>497</v>
      </c>
      <c r="C49" s="449" t="s">
        <v>329</v>
      </c>
      <c r="D49" s="269" t="s">
        <v>493</v>
      </c>
      <c r="E49" s="311">
        <f>'d3'!E49-'d3 до МВК'!E49</f>
        <v>0</v>
      </c>
      <c r="F49" s="311">
        <f>'d3'!F49-'d3 до МВК'!F49</f>
        <v>0</v>
      </c>
      <c r="G49" s="311">
        <f>'d3'!G49-'d3 до МВК'!G49</f>
        <v>0</v>
      </c>
      <c r="H49" s="311">
        <f>'d3'!H49-'d3 до МВК'!H49</f>
        <v>0</v>
      </c>
      <c r="I49" s="311">
        <f>'d3'!I49-'d3 до МВК'!I49</f>
        <v>0</v>
      </c>
      <c r="J49" s="311">
        <f>'d3'!J49-'d3 до МВК'!J49</f>
        <v>0</v>
      </c>
      <c r="K49" s="311">
        <f>'d3'!K49-'d3 до МВК'!K49</f>
        <v>0</v>
      </c>
      <c r="L49" s="311">
        <f>'d3'!L49-'d3 до МВК'!L49</f>
        <v>0</v>
      </c>
      <c r="M49" s="311">
        <f>'d3'!M49-'d3 до МВК'!M49</f>
        <v>0</v>
      </c>
      <c r="N49" s="311">
        <f>'d3'!N49-'d3 до МВК'!N49</f>
        <v>0</v>
      </c>
      <c r="O49" s="311">
        <f>'d3'!O49-'d3 до МВК'!O49</f>
        <v>0</v>
      </c>
      <c r="P49" s="311">
        <f>'d3'!P49-'d3 до МВК'!P49</f>
        <v>0</v>
      </c>
    </row>
    <row r="50" spans="1:16" s="118" customFormat="1" ht="91.5" x14ac:dyDescent="0.2">
      <c r="A50" s="454" t="s">
        <v>496</v>
      </c>
      <c r="B50" s="454" t="s">
        <v>498</v>
      </c>
      <c r="C50" s="449" t="s">
        <v>329</v>
      </c>
      <c r="D50" s="269" t="s">
        <v>494</v>
      </c>
      <c r="E50" s="311">
        <f>'d3'!E50-'d3 до МВК'!E50</f>
        <v>0</v>
      </c>
      <c r="F50" s="311">
        <f>'d3'!F50-'d3 до МВК'!F50</f>
        <v>0</v>
      </c>
      <c r="G50" s="311">
        <f>'d3'!G50-'d3 до МВК'!G50</f>
        <v>0</v>
      </c>
      <c r="H50" s="311">
        <f>'d3'!H50-'d3 до МВК'!H50</f>
        <v>0</v>
      </c>
      <c r="I50" s="311">
        <f>'d3'!I50-'d3 до МВК'!I50</f>
        <v>0</v>
      </c>
      <c r="J50" s="311">
        <f>'d3'!J50-'d3 до МВК'!J50</f>
        <v>0</v>
      </c>
      <c r="K50" s="311">
        <f>'d3'!K50-'d3 до МВК'!K50</f>
        <v>0</v>
      </c>
      <c r="L50" s="311">
        <f>'d3'!L50-'d3 до МВК'!L50</f>
        <v>0</v>
      </c>
      <c r="M50" s="311">
        <f>'d3'!M50-'d3 до МВК'!M50</f>
        <v>0</v>
      </c>
      <c r="N50" s="311">
        <f>'d3'!N50-'d3 до МВК'!N50</f>
        <v>0</v>
      </c>
      <c r="O50" s="311">
        <f>'d3'!O50-'d3 до МВК'!O50</f>
        <v>0</v>
      </c>
      <c r="P50" s="311">
        <f>'d3'!P50-'d3 до МВК'!P50</f>
        <v>0</v>
      </c>
    </row>
    <row r="51" spans="1:16" s="118" customFormat="1" ht="91.5" x14ac:dyDescent="0.2">
      <c r="A51" s="454" t="s">
        <v>863</v>
      </c>
      <c r="B51" s="454" t="s">
        <v>287</v>
      </c>
      <c r="C51" s="454" t="s">
        <v>250</v>
      </c>
      <c r="D51" s="454" t="s">
        <v>57</v>
      </c>
      <c r="E51" s="311">
        <f>'d3'!E51-'d3 до МВК'!E51</f>
        <v>0</v>
      </c>
      <c r="F51" s="311">
        <f>'d3'!F51-'d3 до МВК'!F51</f>
        <v>0</v>
      </c>
      <c r="G51" s="311">
        <f>'d3'!G51-'d3 до МВК'!G51</f>
        <v>0</v>
      </c>
      <c r="H51" s="311">
        <f>'d3'!H51-'d3 до МВК'!H51</f>
        <v>0</v>
      </c>
      <c r="I51" s="311">
        <f>'d3'!I51-'d3 до МВК'!I51</f>
        <v>0</v>
      </c>
      <c r="J51" s="311">
        <f>'d3'!J51-'d3 до МВК'!J51</f>
        <v>0</v>
      </c>
      <c r="K51" s="311">
        <f>'d3'!K51-'d3 до МВК'!K51</f>
        <v>0</v>
      </c>
      <c r="L51" s="311">
        <f>'d3'!L51-'d3 до МВК'!L51</f>
        <v>0</v>
      </c>
      <c r="M51" s="311">
        <f>'d3'!M51-'d3 до МВК'!M51</f>
        <v>0</v>
      </c>
      <c r="N51" s="311">
        <f>'d3'!N51-'d3 до МВК'!N51</f>
        <v>0</v>
      </c>
      <c r="O51" s="311">
        <f>'d3'!O51-'d3 до МВК'!O51</f>
        <v>0</v>
      </c>
      <c r="P51" s="311">
        <f>'d3'!P51-'d3 до МВК'!P51</f>
        <v>0</v>
      </c>
    </row>
    <row r="52" spans="1:16" s="118" customFormat="1" ht="91.5" x14ac:dyDescent="0.2">
      <c r="A52" s="454" t="s">
        <v>865</v>
      </c>
      <c r="B52" s="454" t="s">
        <v>587</v>
      </c>
      <c r="C52" s="454" t="s">
        <v>71</v>
      </c>
      <c r="D52" s="454" t="s">
        <v>588</v>
      </c>
      <c r="E52" s="311">
        <f>'d3'!E52-'d3 до МВК'!E52</f>
        <v>0</v>
      </c>
      <c r="F52" s="311">
        <f>'d3'!F52-'d3 до МВК'!F52</f>
        <v>0</v>
      </c>
      <c r="G52" s="311">
        <f>'d3'!G52-'d3 до МВК'!G52</f>
        <v>0</v>
      </c>
      <c r="H52" s="311">
        <f>'d3'!H52-'d3 до МВК'!H52</f>
        <v>0</v>
      </c>
      <c r="I52" s="311">
        <f>'d3'!I52-'d3 до МВК'!I52</f>
        <v>0</v>
      </c>
      <c r="J52" s="311">
        <f>'d3'!J52-'d3 до МВК'!J52</f>
        <v>0</v>
      </c>
      <c r="K52" s="311">
        <f>'d3'!K52-'d3 до МВК'!K52</f>
        <v>0</v>
      </c>
      <c r="L52" s="311">
        <f>'d3'!L52-'d3 до МВК'!L52</f>
        <v>0</v>
      </c>
      <c r="M52" s="311">
        <f>'d3'!M52-'d3 до МВК'!M52</f>
        <v>0</v>
      </c>
      <c r="N52" s="311">
        <f>'d3'!N52-'d3 до МВК'!N52</f>
        <v>0</v>
      </c>
      <c r="O52" s="311">
        <f>'d3'!O52-'d3 до МВК'!O52</f>
        <v>0</v>
      </c>
      <c r="P52" s="311">
        <f>'d3'!P52-'d3 до МВК'!P52</f>
        <v>0</v>
      </c>
    </row>
    <row r="53" spans="1:16" ht="225" x14ac:dyDescent="0.2">
      <c r="A53" s="327" t="s">
        <v>236</v>
      </c>
      <c r="B53" s="327"/>
      <c r="C53" s="327"/>
      <c r="D53" s="328" t="s">
        <v>60</v>
      </c>
      <c r="E53" s="329">
        <f>E54</f>
        <v>1322000</v>
      </c>
      <c r="F53" s="329">
        <f t="shared" ref="F53:G53" si="16">F54</f>
        <v>1322000</v>
      </c>
      <c r="G53" s="329">
        <f t="shared" si="16"/>
        <v>0</v>
      </c>
      <c r="H53" s="329">
        <f>H54</f>
        <v>0</v>
      </c>
      <c r="I53" s="329">
        <f t="shared" ref="I53" si="17">I54</f>
        <v>0</v>
      </c>
      <c r="J53" s="329">
        <f>J54</f>
        <v>0</v>
      </c>
      <c r="K53" s="329">
        <f>K54</f>
        <v>0</v>
      </c>
      <c r="L53" s="329">
        <f>L54</f>
        <v>0</v>
      </c>
      <c r="M53" s="329">
        <f t="shared" ref="M53" si="18">M54</f>
        <v>0</v>
      </c>
      <c r="N53" s="329">
        <f>N54</f>
        <v>0</v>
      </c>
      <c r="O53" s="329">
        <f>O54</f>
        <v>0</v>
      </c>
      <c r="P53" s="329">
        <f>P54</f>
        <v>1322000</v>
      </c>
    </row>
    <row r="54" spans="1:16" ht="225" x14ac:dyDescent="0.2">
      <c r="A54" s="324" t="s">
        <v>237</v>
      </c>
      <c r="B54" s="324"/>
      <c r="C54" s="324"/>
      <c r="D54" s="325" t="s">
        <v>61</v>
      </c>
      <c r="E54" s="326">
        <f>SUM(E55:E110)</f>
        <v>1322000</v>
      </c>
      <c r="F54" s="326">
        <f>SUM(F55:F110)</f>
        <v>1322000</v>
      </c>
      <c r="G54" s="326">
        <f>SUM(G55:G110)</f>
        <v>0</v>
      </c>
      <c r="H54" s="326">
        <f>SUM(H55:H110)</f>
        <v>0</v>
      </c>
      <c r="I54" s="326">
        <f>SUM(I55:I110)</f>
        <v>0</v>
      </c>
      <c r="J54" s="326">
        <f t="shared" ref="J54" si="19">L54+O54</f>
        <v>0</v>
      </c>
      <c r="K54" s="326">
        <f>SUM(K55:K110)</f>
        <v>0</v>
      </c>
      <c r="L54" s="326">
        <f>SUM(L55:L110)</f>
        <v>0</v>
      </c>
      <c r="M54" s="326">
        <f>SUM(M55:M110)</f>
        <v>0</v>
      </c>
      <c r="N54" s="326">
        <f>SUM(N55:N110)</f>
        <v>0</v>
      </c>
      <c r="O54" s="326">
        <f>SUM(O55:O110)</f>
        <v>0</v>
      </c>
      <c r="P54" s="326">
        <f t="shared" ref="P54" si="20">E54+J54</f>
        <v>1322000</v>
      </c>
    </row>
    <row r="55" spans="1:16" ht="228.75" x14ac:dyDescent="0.2">
      <c r="A55" s="454" t="s">
        <v>704</v>
      </c>
      <c r="B55" s="454" t="s">
        <v>335</v>
      </c>
      <c r="C55" s="454" t="s">
        <v>333</v>
      </c>
      <c r="D55" s="454" t="s">
        <v>334</v>
      </c>
      <c r="E55" s="311">
        <f>'d3'!E55-'d3 до МВК'!E55</f>
        <v>0</v>
      </c>
      <c r="F55" s="311">
        <f>'d3'!F55-'d3 до МВК'!F55</f>
        <v>0</v>
      </c>
      <c r="G55" s="311">
        <f>'d3'!G55-'d3 до МВК'!G55</f>
        <v>0</v>
      </c>
      <c r="H55" s="311">
        <f>'d3'!H55-'d3 до МВК'!H55</f>
        <v>0</v>
      </c>
      <c r="I55" s="311">
        <f>'d3'!I55-'d3 до МВК'!I55</f>
        <v>0</v>
      </c>
      <c r="J55" s="311">
        <f>'d3'!J55-'d3 до МВК'!J55</f>
        <v>0</v>
      </c>
      <c r="K55" s="311">
        <f>'d3'!K55-'d3 до МВК'!K55</f>
        <v>0</v>
      </c>
      <c r="L55" s="311">
        <f>'d3'!L55-'d3 до МВК'!L55</f>
        <v>0</v>
      </c>
      <c r="M55" s="311">
        <f>'d3'!M55-'d3 до МВК'!M55</f>
        <v>0</v>
      </c>
      <c r="N55" s="311">
        <f>'d3'!N55-'d3 до МВК'!N55</f>
        <v>0</v>
      </c>
      <c r="O55" s="311">
        <f>'d3'!O55-'d3 до МВК'!O55</f>
        <v>0</v>
      </c>
      <c r="P55" s="311">
        <f>'d3'!P55-'d3 до МВК'!P55</f>
        <v>0</v>
      </c>
    </row>
    <row r="56" spans="1:16" ht="228.75" customHeight="1" x14ac:dyDescent="0.2">
      <c r="A56" s="449" t="s">
        <v>350</v>
      </c>
      <c r="B56" s="449" t="s">
        <v>351</v>
      </c>
      <c r="C56" s="449" t="s">
        <v>296</v>
      </c>
      <c r="D56" s="455" t="s">
        <v>349</v>
      </c>
      <c r="E56" s="311">
        <f>'d3'!E56-'d3 до МВК'!E56</f>
        <v>0</v>
      </c>
      <c r="F56" s="311">
        <f>'d3'!F56-'d3 до МВК'!F56</f>
        <v>0</v>
      </c>
      <c r="G56" s="311">
        <f>'d3'!G56-'d3 до МВК'!G56</f>
        <v>0</v>
      </c>
      <c r="H56" s="311">
        <f>'d3'!H56-'d3 до МВК'!H56</f>
        <v>0</v>
      </c>
      <c r="I56" s="311">
        <f>'d3'!I56-'d3 до МВК'!I56</f>
        <v>0</v>
      </c>
      <c r="J56" s="311">
        <f>'d3'!J56-'d3 до МВК'!J56</f>
        <v>0</v>
      </c>
      <c r="K56" s="311">
        <f>'d3'!K56-'d3 до МВК'!K56</f>
        <v>0</v>
      </c>
      <c r="L56" s="311">
        <f>'d3'!L56-'d3 до МВК'!L56</f>
        <v>0</v>
      </c>
      <c r="M56" s="311">
        <f>'d3'!M56-'d3 до МВК'!M56</f>
        <v>0</v>
      </c>
      <c r="N56" s="311">
        <f>'d3'!N56-'d3 до МВК'!N56</f>
        <v>0</v>
      </c>
      <c r="O56" s="311">
        <f>'d3'!O56-'d3 до МВК'!O56</f>
        <v>0</v>
      </c>
      <c r="P56" s="311">
        <f>'d3'!P56-'d3 до МВК'!P56</f>
        <v>0</v>
      </c>
    </row>
    <row r="57" spans="1:16" ht="228.75" customHeight="1" x14ac:dyDescent="0.2">
      <c r="A57" s="271" t="s">
        <v>369</v>
      </c>
      <c r="B57" s="449" t="s">
        <v>370</v>
      </c>
      <c r="C57" s="449" t="s">
        <v>79</v>
      </c>
      <c r="D57" s="454" t="s">
        <v>8</v>
      </c>
      <c r="E57" s="311">
        <f>'d3'!E57-'d3 до МВК'!E57</f>
        <v>0</v>
      </c>
      <c r="F57" s="311">
        <f>'d3'!F57-'d3 до МВК'!F57</f>
        <v>0</v>
      </c>
      <c r="G57" s="311">
        <f>'d3'!G57-'d3 до МВК'!G57</f>
        <v>0</v>
      </c>
      <c r="H57" s="311">
        <f>'d3'!H57-'d3 до МВК'!H57</f>
        <v>0</v>
      </c>
      <c r="I57" s="311">
        <f>'d3'!I57-'d3 до МВК'!I57</f>
        <v>0</v>
      </c>
      <c r="J57" s="311">
        <f>'d3'!J57-'d3 до МВК'!J57</f>
        <v>0</v>
      </c>
      <c r="K57" s="311">
        <f>'d3'!K57-'d3 до МВК'!K57</f>
        <v>0</v>
      </c>
      <c r="L57" s="311">
        <f>'d3'!L57-'d3 до МВК'!L57</f>
        <v>0</v>
      </c>
      <c r="M57" s="311">
        <f>'d3'!M57-'d3 до МВК'!M57</f>
        <v>0</v>
      </c>
      <c r="N57" s="311">
        <f>'d3'!N57-'d3 до МВК'!N57</f>
        <v>0</v>
      </c>
      <c r="O57" s="311">
        <f>'d3'!O57-'d3 до МВК'!O57</f>
        <v>0</v>
      </c>
      <c r="P57" s="311">
        <f>'d3'!P57-'d3 до МВК'!P57</f>
        <v>0</v>
      </c>
    </row>
    <row r="58" spans="1:16" ht="320.25" customHeight="1" x14ac:dyDescent="0.2">
      <c r="A58" s="454" t="s">
        <v>372</v>
      </c>
      <c r="B58" s="454" t="s">
        <v>373</v>
      </c>
      <c r="C58" s="454" t="s">
        <v>296</v>
      </c>
      <c r="D58" s="250" t="s">
        <v>371</v>
      </c>
      <c r="E58" s="311">
        <f>'d3'!E58-'d3 до МВК'!E58</f>
        <v>0</v>
      </c>
      <c r="F58" s="311">
        <f>'d3'!F58-'d3 до МВК'!F58</f>
        <v>0</v>
      </c>
      <c r="G58" s="311">
        <f>'d3'!G58-'d3 до МВК'!G58</f>
        <v>0</v>
      </c>
      <c r="H58" s="311">
        <f>'d3'!H58-'d3 до МВК'!H58</f>
        <v>0</v>
      </c>
      <c r="I58" s="311">
        <f>'d3'!I58-'d3 до МВК'!I58</f>
        <v>0</v>
      </c>
      <c r="J58" s="311">
        <f>'d3'!J58-'d3 до МВК'!J58</f>
        <v>0</v>
      </c>
      <c r="K58" s="311">
        <f>'d3'!K58-'d3 до МВК'!K58</f>
        <v>0</v>
      </c>
      <c r="L58" s="311">
        <f>'d3'!L58-'d3 до МВК'!L58</f>
        <v>0</v>
      </c>
      <c r="M58" s="311">
        <f>'d3'!M58-'d3 до МВК'!M58</f>
        <v>0</v>
      </c>
      <c r="N58" s="311">
        <f>'d3'!N58-'d3 до МВК'!N58</f>
        <v>0</v>
      </c>
      <c r="O58" s="311">
        <f>'d3'!O58-'d3 до МВК'!O58</f>
        <v>0</v>
      </c>
      <c r="P58" s="311">
        <f>'d3'!P58-'d3 до МВК'!P58</f>
        <v>0</v>
      </c>
    </row>
    <row r="59" spans="1:16" ht="274.5" customHeight="1" x14ac:dyDescent="0.2">
      <c r="A59" s="454" t="s">
        <v>374</v>
      </c>
      <c r="B59" s="454" t="s">
        <v>375</v>
      </c>
      <c r="C59" s="250">
        <v>1060</v>
      </c>
      <c r="D59" s="272" t="s">
        <v>19</v>
      </c>
      <c r="E59" s="311">
        <f>'d3'!E59-'d3 до МВК'!E59</f>
        <v>0</v>
      </c>
      <c r="F59" s="311">
        <f>'d3'!F59-'d3 до МВК'!F59</f>
        <v>0</v>
      </c>
      <c r="G59" s="311">
        <f>'d3'!G59-'d3 до МВК'!G59</f>
        <v>0</v>
      </c>
      <c r="H59" s="311">
        <f>'d3'!H59-'d3 до МВК'!H59</f>
        <v>0</v>
      </c>
      <c r="I59" s="311">
        <f>'d3'!I59-'d3 до МВК'!I59</f>
        <v>0</v>
      </c>
      <c r="J59" s="311">
        <f>'d3'!J59-'d3 до МВК'!J59</f>
        <v>0</v>
      </c>
      <c r="K59" s="311">
        <f>'d3'!K59-'d3 до МВК'!K59</f>
        <v>0</v>
      </c>
      <c r="L59" s="311">
        <f>'d3'!L59-'d3 до МВК'!L59</f>
        <v>0</v>
      </c>
      <c r="M59" s="311">
        <f>'d3'!M59-'d3 до МВК'!M59</f>
        <v>0</v>
      </c>
      <c r="N59" s="311">
        <f>'d3'!N59-'d3 до МВК'!N59</f>
        <v>0</v>
      </c>
      <c r="O59" s="311">
        <f>'d3'!O59-'d3 до МВК'!O59</f>
        <v>0</v>
      </c>
      <c r="P59" s="311">
        <f>'d3'!P59-'d3 до МВК'!P59</f>
        <v>0</v>
      </c>
    </row>
    <row r="60" spans="1:16" s="118" customFormat="1" ht="183" customHeight="1" x14ac:dyDescent="0.2">
      <c r="A60" s="449" t="s">
        <v>400</v>
      </c>
      <c r="B60" s="449" t="s">
        <v>401</v>
      </c>
      <c r="C60" s="449" t="s">
        <v>296</v>
      </c>
      <c r="D60" s="455" t="s">
        <v>402</v>
      </c>
      <c r="E60" s="311">
        <f>'d3'!E60-'d3 до МВК'!E60</f>
        <v>0</v>
      </c>
      <c r="F60" s="311">
        <f>'d3'!F60-'d3 до МВК'!F60</f>
        <v>0</v>
      </c>
      <c r="G60" s="311">
        <f>'d3'!G60-'d3 до МВК'!G60</f>
        <v>0</v>
      </c>
      <c r="H60" s="311">
        <f>'d3'!H60-'d3 до МВК'!H60</f>
        <v>0</v>
      </c>
      <c r="I60" s="311">
        <f>'d3'!I60-'d3 до МВК'!I60</f>
        <v>0</v>
      </c>
      <c r="J60" s="311">
        <f>'d3'!J60-'d3 до МВК'!J60</f>
        <v>0</v>
      </c>
      <c r="K60" s="311">
        <f>'d3'!K60-'d3 до МВК'!K60</f>
        <v>0</v>
      </c>
      <c r="L60" s="311">
        <f>'d3'!L60-'d3 до МВК'!L60</f>
        <v>0</v>
      </c>
      <c r="M60" s="311">
        <f>'d3'!M60-'d3 до МВК'!M60</f>
        <v>0</v>
      </c>
      <c r="N60" s="311">
        <f>'d3'!N60-'d3 до МВК'!N60</f>
        <v>0</v>
      </c>
      <c r="O60" s="311">
        <f>'d3'!O60-'d3 до МВК'!O60</f>
        <v>0</v>
      </c>
      <c r="P60" s="311">
        <f>'d3'!P60-'d3 до МВК'!P60</f>
        <v>0</v>
      </c>
    </row>
    <row r="61" spans="1:16" s="118" customFormat="1" ht="137.25" x14ac:dyDescent="0.2">
      <c r="A61" s="454" t="s">
        <v>403</v>
      </c>
      <c r="B61" s="454" t="s">
        <v>404</v>
      </c>
      <c r="C61" s="454" t="s">
        <v>297</v>
      </c>
      <c r="D61" s="454" t="s">
        <v>16</v>
      </c>
      <c r="E61" s="311">
        <f>'d3'!E61-'d3 до МВК'!E61</f>
        <v>0</v>
      </c>
      <c r="F61" s="311">
        <f>'d3'!F61-'d3 до МВК'!F61</f>
        <v>0</v>
      </c>
      <c r="G61" s="311">
        <f>'d3'!G61-'d3 до МВК'!G61</f>
        <v>0</v>
      </c>
      <c r="H61" s="311">
        <f>'d3'!H61-'d3 до МВК'!H61</f>
        <v>0</v>
      </c>
      <c r="I61" s="311">
        <f>'d3'!I61-'d3 до МВК'!I61</f>
        <v>0</v>
      </c>
      <c r="J61" s="311">
        <f>'d3'!J61-'d3 до МВК'!J61</f>
        <v>0</v>
      </c>
      <c r="K61" s="311">
        <f>'d3'!K61-'d3 до МВК'!K61</f>
        <v>0</v>
      </c>
      <c r="L61" s="311">
        <f>'d3'!L61-'d3 до МВК'!L61</f>
        <v>0</v>
      </c>
      <c r="M61" s="311">
        <f>'d3'!M61-'d3 до МВК'!M61</f>
        <v>0</v>
      </c>
      <c r="N61" s="311">
        <f>'d3'!N61-'d3 до МВК'!N61</f>
        <v>0</v>
      </c>
      <c r="O61" s="311">
        <f>'d3'!O61-'d3 до МВК'!O61</f>
        <v>0</v>
      </c>
      <c r="P61" s="311">
        <f>'d3'!P61-'d3 до МВК'!P61</f>
        <v>0</v>
      </c>
    </row>
    <row r="62" spans="1:16" s="118" customFormat="1" ht="228.75" customHeight="1" x14ac:dyDescent="0.2">
      <c r="A62" s="454" t="s">
        <v>406</v>
      </c>
      <c r="B62" s="454" t="s">
        <v>407</v>
      </c>
      <c r="C62" s="454" t="s">
        <v>297</v>
      </c>
      <c r="D62" s="449" t="s">
        <v>17</v>
      </c>
      <c r="E62" s="311">
        <f>'d3'!E62-'d3 до МВК'!E62</f>
        <v>0</v>
      </c>
      <c r="F62" s="311">
        <f>'d3'!F62-'d3 до МВК'!F62</f>
        <v>0</v>
      </c>
      <c r="G62" s="311">
        <f>'d3'!G62-'d3 до МВК'!G62</f>
        <v>0</v>
      </c>
      <c r="H62" s="311">
        <f>'d3'!H62-'d3 до МВК'!H62</f>
        <v>0</v>
      </c>
      <c r="I62" s="311">
        <f>'d3'!I62-'d3 до МВК'!I62</f>
        <v>0</v>
      </c>
      <c r="J62" s="311">
        <f>'d3'!J62-'d3 до МВК'!J62</f>
        <v>0</v>
      </c>
      <c r="K62" s="311">
        <f>'d3'!K62-'d3 до МВК'!K62</f>
        <v>0</v>
      </c>
      <c r="L62" s="311">
        <f>'d3'!L62-'d3 до МВК'!L62</f>
        <v>0</v>
      </c>
      <c r="M62" s="311">
        <f>'d3'!M62-'d3 до МВК'!M62</f>
        <v>0</v>
      </c>
      <c r="N62" s="311">
        <f>'d3'!N62-'d3 до МВК'!N62</f>
        <v>0</v>
      </c>
      <c r="O62" s="311">
        <f>'d3'!O62-'d3 до МВК'!O62</f>
        <v>0</v>
      </c>
      <c r="P62" s="311">
        <f>'d3'!P62-'d3 до МВК'!P62</f>
        <v>0</v>
      </c>
    </row>
    <row r="63" spans="1:16" s="118" customFormat="1" ht="183" x14ac:dyDescent="0.2">
      <c r="A63" s="449" t="s">
        <v>408</v>
      </c>
      <c r="B63" s="449" t="s">
        <v>405</v>
      </c>
      <c r="C63" s="449" t="s">
        <v>297</v>
      </c>
      <c r="D63" s="449" t="s">
        <v>18</v>
      </c>
      <c r="E63" s="311">
        <f>'d3'!E63-'d3 до МВК'!E63</f>
        <v>0</v>
      </c>
      <c r="F63" s="311">
        <f>'d3'!F63-'d3 до МВК'!F63</f>
        <v>0</v>
      </c>
      <c r="G63" s="311">
        <f>'d3'!G63-'d3 до МВК'!G63</f>
        <v>0</v>
      </c>
      <c r="H63" s="311">
        <f>'d3'!H63-'d3 до МВК'!H63</f>
        <v>0</v>
      </c>
      <c r="I63" s="311">
        <f>'d3'!I63-'d3 до МВК'!I63</f>
        <v>0</v>
      </c>
      <c r="J63" s="311">
        <f>'d3'!J63-'d3 до МВК'!J63</f>
        <v>0</v>
      </c>
      <c r="K63" s="311">
        <f>'d3'!K63-'d3 до МВК'!K63</f>
        <v>0</v>
      </c>
      <c r="L63" s="311">
        <f>'d3'!L63-'d3 до МВК'!L63</f>
        <v>0</v>
      </c>
      <c r="M63" s="311">
        <f>'d3'!M63-'d3 до МВК'!M63</f>
        <v>0</v>
      </c>
      <c r="N63" s="311">
        <f>'d3'!N63-'d3 до МВК'!N63</f>
        <v>0</v>
      </c>
      <c r="O63" s="311">
        <f>'d3'!O63-'d3 до МВК'!O63</f>
        <v>0</v>
      </c>
      <c r="P63" s="311">
        <f>'d3'!P63-'d3 до МВК'!P63</f>
        <v>0</v>
      </c>
    </row>
    <row r="64" spans="1:16" s="118" customFormat="1" ht="228.75" customHeight="1" x14ac:dyDescent="0.2">
      <c r="A64" s="449" t="s">
        <v>409</v>
      </c>
      <c r="B64" s="449" t="s">
        <v>410</v>
      </c>
      <c r="C64" s="449" t="s">
        <v>297</v>
      </c>
      <c r="D64" s="449" t="s">
        <v>21</v>
      </c>
      <c r="E64" s="311">
        <f>'d3'!E64-'d3 до МВК'!E64</f>
        <v>1322000</v>
      </c>
      <c r="F64" s="311">
        <f>'d3'!F64-'d3 до МВК'!F64</f>
        <v>1322000</v>
      </c>
      <c r="G64" s="311">
        <f>'d3'!G64-'d3 до МВК'!G64</f>
        <v>0</v>
      </c>
      <c r="H64" s="311">
        <f>'d3'!H64-'d3 до МВК'!H64</f>
        <v>0</v>
      </c>
      <c r="I64" s="311">
        <f>'d3'!I64-'d3 до МВК'!I64</f>
        <v>0</v>
      </c>
      <c r="J64" s="311">
        <f>'d3'!J64-'d3 до МВК'!J64</f>
        <v>0</v>
      </c>
      <c r="K64" s="311">
        <f>'d3'!K64-'d3 до МВК'!K64</f>
        <v>0</v>
      </c>
      <c r="L64" s="311">
        <f>'d3'!L64-'d3 до МВК'!L64</f>
        <v>0</v>
      </c>
      <c r="M64" s="311">
        <f>'d3'!M64-'d3 до МВК'!M64</f>
        <v>0</v>
      </c>
      <c r="N64" s="311">
        <f>'d3'!N64-'d3 до МВК'!N64</f>
        <v>0</v>
      </c>
      <c r="O64" s="311">
        <f>'d3'!O64-'d3 до МВК'!O64</f>
        <v>0</v>
      </c>
      <c r="P64" s="311">
        <f>'d3'!P64-'d3 до МВК'!P64</f>
        <v>1322000</v>
      </c>
    </row>
    <row r="65" spans="1:16" s="118" customFormat="1" ht="91.5" x14ac:dyDescent="0.2">
      <c r="A65" s="454" t="s">
        <v>360</v>
      </c>
      <c r="B65" s="454" t="s">
        <v>352</v>
      </c>
      <c r="C65" s="454" t="s">
        <v>273</v>
      </c>
      <c r="D65" s="454" t="s">
        <v>10</v>
      </c>
      <c r="E65" s="311">
        <f>'d3'!E65-'d3 до МВК'!E65</f>
        <v>0</v>
      </c>
      <c r="F65" s="311">
        <f>'d3'!F65-'d3 до МВК'!F65</f>
        <v>0</v>
      </c>
      <c r="G65" s="311">
        <f>'d3'!G65-'d3 до МВК'!G65</f>
        <v>0</v>
      </c>
      <c r="H65" s="311">
        <f>'d3'!H65-'d3 до МВК'!H65</f>
        <v>0</v>
      </c>
      <c r="I65" s="311">
        <f>'d3'!I65-'d3 до МВК'!I65</f>
        <v>0</v>
      </c>
      <c r="J65" s="311">
        <f>'d3'!J65-'d3 до МВК'!J65</f>
        <v>0</v>
      </c>
      <c r="K65" s="311">
        <f>'d3'!K65-'d3 до МВК'!K65</f>
        <v>0</v>
      </c>
      <c r="L65" s="311">
        <f>'d3'!L65-'d3 до МВК'!L65</f>
        <v>0</v>
      </c>
      <c r="M65" s="311">
        <f>'d3'!M65-'d3 до МВК'!M65</f>
        <v>0</v>
      </c>
      <c r="N65" s="311">
        <f>'d3'!N65-'d3 до МВК'!N65</f>
        <v>0</v>
      </c>
      <c r="O65" s="311">
        <f>'d3'!O65-'d3 до МВК'!O65</f>
        <v>0</v>
      </c>
      <c r="P65" s="311">
        <f>'d3'!P65-'d3 до МВК'!P65</f>
        <v>0</v>
      </c>
    </row>
    <row r="66" spans="1:16" s="118" customFormat="1" ht="91.5" x14ac:dyDescent="0.2">
      <c r="A66" s="454" t="s">
        <v>361</v>
      </c>
      <c r="B66" s="454" t="s">
        <v>353</v>
      </c>
      <c r="C66" s="454" t="s">
        <v>273</v>
      </c>
      <c r="D66" s="454" t="s">
        <v>359</v>
      </c>
      <c r="E66" s="311">
        <f>'d3'!E66-'d3 до МВК'!E66</f>
        <v>0</v>
      </c>
      <c r="F66" s="311">
        <f>'d3'!F66-'d3 до МВК'!F66</f>
        <v>0</v>
      </c>
      <c r="G66" s="311">
        <f>'d3'!G66-'d3 до МВК'!G66</f>
        <v>0</v>
      </c>
      <c r="H66" s="311">
        <f>'d3'!H66-'d3 до МВК'!H66</f>
        <v>0</v>
      </c>
      <c r="I66" s="311">
        <f>'d3'!I66-'d3 до МВК'!I66</f>
        <v>0</v>
      </c>
      <c r="J66" s="311">
        <f>'d3'!J66-'d3 до МВК'!J66</f>
        <v>0</v>
      </c>
      <c r="K66" s="311">
        <f>'d3'!K66-'d3 до МВК'!K66</f>
        <v>0</v>
      </c>
      <c r="L66" s="311">
        <f>'d3'!L66-'d3 до МВК'!L66</f>
        <v>0</v>
      </c>
      <c r="M66" s="311">
        <f>'d3'!M66-'d3 до МВК'!M66</f>
        <v>0</v>
      </c>
      <c r="N66" s="311">
        <f>'d3'!N66-'d3 до МВК'!N66</f>
        <v>0</v>
      </c>
      <c r="O66" s="311">
        <f>'d3'!O66-'d3 до МВК'!O66</f>
        <v>0</v>
      </c>
      <c r="P66" s="311">
        <f>'d3'!P66-'d3 до МВК'!P66</f>
        <v>0</v>
      </c>
    </row>
    <row r="67" spans="1:16" s="118" customFormat="1" ht="91.5" x14ac:dyDescent="0.2">
      <c r="A67" s="454" t="s">
        <v>362</v>
      </c>
      <c r="B67" s="454" t="s">
        <v>354</v>
      </c>
      <c r="C67" s="454" t="s">
        <v>273</v>
      </c>
      <c r="D67" s="454" t="s">
        <v>11</v>
      </c>
      <c r="E67" s="311">
        <f>'d3'!E67-'d3 до МВК'!E67</f>
        <v>0</v>
      </c>
      <c r="F67" s="311">
        <f>'d3'!F67-'d3 до МВК'!F67</f>
        <v>0</v>
      </c>
      <c r="G67" s="311">
        <f>'d3'!G67-'d3 до МВК'!G67</f>
        <v>0</v>
      </c>
      <c r="H67" s="311">
        <f>'d3'!H67-'d3 до МВК'!H67</f>
        <v>0</v>
      </c>
      <c r="I67" s="311">
        <f>'d3'!I67-'d3 до МВК'!I67</f>
        <v>0</v>
      </c>
      <c r="J67" s="311">
        <f>'d3'!J67-'d3 до МВК'!J67</f>
        <v>0</v>
      </c>
      <c r="K67" s="311">
        <f>'d3'!K67-'d3 до МВК'!K67</f>
        <v>0</v>
      </c>
      <c r="L67" s="311">
        <f>'d3'!L67-'d3 до МВК'!L67</f>
        <v>0</v>
      </c>
      <c r="M67" s="311">
        <f>'d3'!M67-'d3 до МВК'!M67</f>
        <v>0</v>
      </c>
      <c r="N67" s="311">
        <f>'d3'!N67-'d3 до МВК'!N67</f>
        <v>0</v>
      </c>
      <c r="O67" s="311">
        <f>'d3'!O67-'d3 до МВК'!O67</f>
        <v>0</v>
      </c>
      <c r="P67" s="311">
        <f>'d3'!P67-'d3 до МВК'!P67</f>
        <v>0</v>
      </c>
    </row>
    <row r="68" spans="1:16" s="118" customFormat="1" ht="137.25" x14ac:dyDescent="0.2">
      <c r="A68" s="454" t="s">
        <v>363</v>
      </c>
      <c r="B68" s="454" t="s">
        <v>355</v>
      </c>
      <c r="C68" s="454" t="s">
        <v>273</v>
      </c>
      <c r="D68" s="454" t="s">
        <v>12</v>
      </c>
      <c r="E68" s="311">
        <f>'d3'!E68-'d3 до МВК'!E68</f>
        <v>0</v>
      </c>
      <c r="F68" s="311">
        <f>'d3'!F68-'d3 до МВК'!F68</f>
        <v>0</v>
      </c>
      <c r="G68" s="311">
        <f>'d3'!G68-'d3 до МВК'!G68</f>
        <v>0</v>
      </c>
      <c r="H68" s="311">
        <f>'d3'!H68-'d3 до МВК'!H68</f>
        <v>0</v>
      </c>
      <c r="I68" s="311">
        <f>'d3'!I68-'d3 до МВК'!I68</f>
        <v>0</v>
      </c>
      <c r="J68" s="311">
        <f>'d3'!J68-'d3 до МВК'!J68</f>
        <v>0</v>
      </c>
      <c r="K68" s="311">
        <f>'d3'!K68-'d3 до МВК'!K68</f>
        <v>0</v>
      </c>
      <c r="L68" s="311">
        <f>'d3'!L68-'d3 до МВК'!L68</f>
        <v>0</v>
      </c>
      <c r="M68" s="311">
        <f>'d3'!M68-'d3 до МВК'!M68</f>
        <v>0</v>
      </c>
      <c r="N68" s="311">
        <f>'d3'!N68-'d3 до МВК'!N68</f>
        <v>0</v>
      </c>
      <c r="O68" s="311">
        <f>'d3'!O68-'d3 до МВК'!O68</f>
        <v>0</v>
      </c>
      <c r="P68" s="311">
        <f>'d3'!P68-'d3 до МВК'!P68</f>
        <v>0</v>
      </c>
    </row>
    <row r="69" spans="1:16" s="118" customFormat="1" ht="91.5" x14ac:dyDescent="0.2">
      <c r="A69" s="454" t="s">
        <v>364</v>
      </c>
      <c r="B69" s="454" t="s">
        <v>356</v>
      </c>
      <c r="C69" s="454" t="s">
        <v>273</v>
      </c>
      <c r="D69" s="454" t="s">
        <v>13</v>
      </c>
      <c r="E69" s="311">
        <f>'d3'!E69-'d3 до МВК'!E69</f>
        <v>0</v>
      </c>
      <c r="F69" s="311">
        <f>'d3'!F69-'d3 до МВК'!F69</f>
        <v>0</v>
      </c>
      <c r="G69" s="311">
        <f>'d3'!G69-'d3 до МВК'!G69</f>
        <v>0</v>
      </c>
      <c r="H69" s="311">
        <f>'d3'!H69-'d3 до МВК'!H69</f>
        <v>0</v>
      </c>
      <c r="I69" s="311">
        <f>'d3'!I69-'d3 до МВК'!I69</f>
        <v>0</v>
      </c>
      <c r="J69" s="311">
        <f>'d3'!J69-'d3 до МВК'!J69</f>
        <v>0</v>
      </c>
      <c r="K69" s="311">
        <f>'d3'!K69-'d3 до МВК'!K69</f>
        <v>0</v>
      </c>
      <c r="L69" s="311">
        <f>'d3'!L69-'d3 до МВК'!L69</f>
        <v>0</v>
      </c>
      <c r="M69" s="311">
        <f>'d3'!M69-'d3 до МВК'!M69</f>
        <v>0</v>
      </c>
      <c r="N69" s="311">
        <f>'d3'!N69-'d3 до МВК'!N69</f>
        <v>0</v>
      </c>
      <c r="O69" s="311">
        <f>'d3'!O69-'d3 до МВК'!O69</f>
        <v>0</v>
      </c>
      <c r="P69" s="311">
        <f>'d3'!P69-'d3 до МВК'!P69</f>
        <v>0</v>
      </c>
    </row>
    <row r="70" spans="1:16" s="118" customFormat="1" ht="91.5" x14ac:dyDescent="0.2">
      <c r="A70" s="454" t="s">
        <v>365</v>
      </c>
      <c r="B70" s="454" t="s">
        <v>357</v>
      </c>
      <c r="C70" s="454" t="s">
        <v>273</v>
      </c>
      <c r="D70" s="454" t="s">
        <v>14</v>
      </c>
      <c r="E70" s="311">
        <f>'d3'!E70-'d3 до МВК'!E70</f>
        <v>0</v>
      </c>
      <c r="F70" s="311">
        <f>'d3'!F70-'d3 до МВК'!F70</f>
        <v>0</v>
      </c>
      <c r="G70" s="311">
        <f>'d3'!G70-'d3 до МВК'!G70</f>
        <v>0</v>
      </c>
      <c r="H70" s="311">
        <f>'d3'!H70-'d3 до МВК'!H70</f>
        <v>0</v>
      </c>
      <c r="I70" s="311">
        <f>'d3'!I70-'d3 до МВК'!I70</f>
        <v>0</v>
      </c>
      <c r="J70" s="311">
        <f>'d3'!J70-'d3 до МВК'!J70</f>
        <v>0</v>
      </c>
      <c r="K70" s="311">
        <f>'d3'!K70-'d3 до МВК'!K70</f>
        <v>0</v>
      </c>
      <c r="L70" s="311">
        <f>'d3'!L70-'d3 до МВК'!L70</f>
        <v>0</v>
      </c>
      <c r="M70" s="311">
        <f>'d3'!M70-'d3 до МВК'!M70</f>
        <v>0</v>
      </c>
      <c r="N70" s="311">
        <f>'d3'!N70-'d3 до МВК'!N70</f>
        <v>0</v>
      </c>
      <c r="O70" s="311">
        <f>'d3'!O70-'d3 до МВК'!O70</f>
        <v>0</v>
      </c>
      <c r="P70" s="311">
        <f>'d3'!P70-'d3 до МВК'!P70</f>
        <v>0</v>
      </c>
    </row>
    <row r="71" spans="1:16" s="118" customFormat="1" ht="137.25" x14ac:dyDescent="0.2">
      <c r="A71" s="454" t="s">
        <v>366</v>
      </c>
      <c r="B71" s="454" t="s">
        <v>358</v>
      </c>
      <c r="C71" s="454" t="s">
        <v>273</v>
      </c>
      <c r="D71" s="454" t="s">
        <v>15</v>
      </c>
      <c r="E71" s="311">
        <f>'d3'!E71-'d3 до МВК'!E71</f>
        <v>0</v>
      </c>
      <c r="F71" s="311">
        <f>'d3'!F71-'d3 до МВК'!F71</f>
        <v>0</v>
      </c>
      <c r="G71" s="311">
        <f>'d3'!G71-'d3 до МВК'!G71</f>
        <v>0</v>
      </c>
      <c r="H71" s="311">
        <f>'d3'!H71-'d3 до МВК'!H71</f>
        <v>0</v>
      </c>
      <c r="I71" s="311">
        <f>'d3'!I71-'d3 до МВК'!I71</f>
        <v>0</v>
      </c>
      <c r="J71" s="311">
        <f>'d3'!J71-'d3 до МВК'!J71</f>
        <v>0</v>
      </c>
      <c r="K71" s="311">
        <f>'d3'!K71-'d3 до МВК'!K71</f>
        <v>0</v>
      </c>
      <c r="L71" s="311">
        <f>'d3'!L71-'d3 до МВК'!L71</f>
        <v>0</v>
      </c>
      <c r="M71" s="311">
        <f>'d3'!M71-'d3 до МВК'!M71</f>
        <v>0</v>
      </c>
      <c r="N71" s="311">
        <f>'d3'!N71-'d3 до МВК'!N71</f>
        <v>0</v>
      </c>
      <c r="O71" s="311">
        <f>'d3'!O71-'d3 до МВК'!O71</f>
        <v>0</v>
      </c>
      <c r="P71" s="311">
        <f>'d3'!P71-'d3 до МВК'!P71</f>
        <v>0</v>
      </c>
    </row>
    <row r="72" spans="1:16" s="118" customFormat="1" ht="183" customHeight="1" x14ac:dyDescent="0.2">
      <c r="A72" s="454" t="s">
        <v>883</v>
      </c>
      <c r="B72" s="454" t="s">
        <v>885</v>
      </c>
      <c r="C72" s="454" t="s">
        <v>273</v>
      </c>
      <c r="D72" s="454" t="s">
        <v>884</v>
      </c>
      <c r="E72" s="311">
        <f>'d3'!E72-'d3 до МВК'!E72</f>
        <v>0</v>
      </c>
      <c r="F72" s="311">
        <f>'d3'!F72-'d3 до МВК'!F72</f>
        <v>0</v>
      </c>
      <c r="G72" s="311">
        <f>'d3'!G72-'d3 до МВК'!G72</f>
        <v>0</v>
      </c>
      <c r="H72" s="311">
        <f>'d3'!H72-'d3 до МВК'!H72</f>
        <v>0</v>
      </c>
      <c r="I72" s="311">
        <f>'d3'!I72-'d3 до МВК'!I72</f>
        <v>0</v>
      </c>
      <c r="J72" s="311">
        <f>'d3'!J72-'d3 до МВК'!J72</f>
        <v>0</v>
      </c>
      <c r="K72" s="311">
        <f>'d3'!K72-'d3 до МВК'!K72</f>
        <v>0</v>
      </c>
      <c r="L72" s="311">
        <f>'d3'!L72-'d3 до МВК'!L72</f>
        <v>0</v>
      </c>
      <c r="M72" s="311">
        <f>'d3'!M72-'d3 до МВК'!M72</f>
        <v>0</v>
      </c>
      <c r="N72" s="311">
        <f>'d3'!N72-'d3 до МВК'!N72</f>
        <v>0</v>
      </c>
      <c r="O72" s="311">
        <f>'d3'!O72-'d3 до МВК'!O72</f>
        <v>0</v>
      </c>
      <c r="P72" s="311">
        <f>'d3'!P72-'d3 до МВК'!P72</f>
        <v>0</v>
      </c>
    </row>
    <row r="73" spans="1:16" ht="183" x14ac:dyDescent="0.2">
      <c r="A73" s="454" t="s">
        <v>376</v>
      </c>
      <c r="B73" s="454" t="s">
        <v>367</v>
      </c>
      <c r="C73" s="454" t="s">
        <v>297</v>
      </c>
      <c r="D73" s="454" t="s">
        <v>9</v>
      </c>
      <c r="E73" s="311">
        <f>'d3'!E73-'d3 до МВК'!E73</f>
        <v>0</v>
      </c>
      <c r="F73" s="311">
        <f>'d3'!F73-'d3 до МВК'!F73</f>
        <v>0</v>
      </c>
      <c r="G73" s="311">
        <f>'d3'!G73-'d3 до МВК'!G73</f>
        <v>0</v>
      </c>
      <c r="H73" s="311">
        <f>'d3'!H73-'d3 до МВК'!H73</f>
        <v>0</v>
      </c>
      <c r="I73" s="311">
        <f>'d3'!I73-'d3 до МВК'!I73</f>
        <v>0</v>
      </c>
      <c r="J73" s="311">
        <f>'d3'!J73-'d3 до МВК'!J73</f>
        <v>0</v>
      </c>
      <c r="K73" s="311">
        <f>'d3'!K73-'d3 до МВК'!K73</f>
        <v>0</v>
      </c>
      <c r="L73" s="311">
        <f>'d3'!L73-'d3 до МВК'!L73</f>
        <v>0</v>
      </c>
      <c r="M73" s="311">
        <f>'d3'!M73-'d3 до МВК'!M73</f>
        <v>0</v>
      </c>
      <c r="N73" s="311">
        <f>'d3'!N73-'d3 до МВК'!N73</f>
        <v>0</v>
      </c>
      <c r="O73" s="311">
        <f>'d3'!O73-'d3 до МВК'!O73</f>
        <v>0</v>
      </c>
      <c r="P73" s="311">
        <f>'d3'!P73-'d3 до МВК'!P73</f>
        <v>0</v>
      </c>
    </row>
    <row r="74" spans="1:16" s="118" customFormat="1" ht="183" x14ac:dyDescent="0.2">
      <c r="A74" s="454" t="s">
        <v>543</v>
      </c>
      <c r="B74" s="454" t="s">
        <v>544</v>
      </c>
      <c r="C74" s="454" t="s">
        <v>289</v>
      </c>
      <c r="D74" s="454" t="s">
        <v>542</v>
      </c>
      <c r="E74" s="311">
        <f>'d3'!E74-'d3 до МВК'!E74</f>
        <v>0</v>
      </c>
      <c r="F74" s="311">
        <f>'d3'!F74-'d3 до МВК'!F74</f>
        <v>0</v>
      </c>
      <c r="G74" s="311">
        <f>'d3'!G74-'d3 до МВК'!G74</f>
        <v>0</v>
      </c>
      <c r="H74" s="311">
        <f>'d3'!H74-'d3 до МВК'!H74</f>
        <v>0</v>
      </c>
      <c r="I74" s="311">
        <f>'d3'!I74-'d3 до МВК'!I74</f>
        <v>0</v>
      </c>
      <c r="J74" s="311">
        <f>'d3'!J74-'d3 до МВК'!J74</f>
        <v>0</v>
      </c>
      <c r="K74" s="311">
        <f>'d3'!K74-'d3 до МВК'!K74</f>
        <v>0</v>
      </c>
      <c r="L74" s="311">
        <f>'d3'!L74-'d3 до МВК'!L74</f>
        <v>0</v>
      </c>
      <c r="M74" s="311">
        <f>'d3'!M74-'d3 до МВК'!M74</f>
        <v>0</v>
      </c>
      <c r="N74" s="311">
        <f>'d3'!N74-'d3 до МВК'!N74</f>
        <v>0</v>
      </c>
      <c r="O74" s="311">
        <f>'d3'!O74-'d3 до МВК'!O74</f>
        <v>0</v>
      </c>
      <c r="P74" s="311">
        <f>'d3'!P74-'d3 до МВК'!P74</f>
        <v>0</v>
      </c>
    </row>
    <row r="75" spans="1:16" s="118" customFormat="1" ht="320.25" customHeight="1" x14ac:dyDescent="0.2">
      <c r="A75" s="454" t="s">
        <v>600</v>
      </c>
      <c r="B75" s="454" t="s">
        <v>601</v>
      </c>
      <c r="C75" s="454" t="s">
        <v>289</v>
      </c>
      <c r="D75" s="454" t="s">
        <v>602</v>
      </c>
      <c r="E75" s="311">
        <f>'d3'!E75-'d3 до МВК'!E75</f>
        <v>0</v>
      </c>
      <c r="F75" s="311">
        <f>'d3'!F75-'d3 до МВК'!F75</f>
        <v>0</v>
      </c>
      <c r="G75" s="311">
        <f>'d3'!G75-'d3 до МВК'!G75</f>
        <v>0</v>
      </c>
      <c r="H75" s="311">
        <f>'d3'!H75-'d3 до МВК'!H75</f>
        <v>0</v>
      </c>
      <c r="I75" s="311">
        <f>'d3'!I75-'d3 до МВК'!I75</f>
        <v>0</v>
      </c>
      <c r="J75" s="311">
        <f>'d3'!J75-'d3 до МВК'!J75</f>
        <v>0</v>
      </c>
      <c r="K75" s="311">
        <f>'d3'!K75-'d3 до МВК'!K75</f>
        <v>0</v>
      </c>
      <c r="L75" s="311">
        <f>'d3'!L75-'d3 до МВК'!L75</f>
        <v>0</v>
      </c>
      <c r="M75" s="311">
        <f>'d3'!M75-'d3 до МВК'!M75</f>
        <v>0</v>
      </c>
      <c r="N75" s="311">
        <f>'d3'!N75-'d3 до МВК'!N75</f>
        <v>0</v>
      </c>
      <c r="O75" s="311">
        <f>'d3'!O75-'d3 до МВК'!O75</f>
        <v>0</v>
      </c>
      <c r="P75" s="311">
        <f>'d3'!P75-'d3 до МВК'!P75</f>
        <v>0</v>
      </c>
    </row>
    <row r="76" spans="1:16" s="118" customFormat="1" ht="228.75" customHeight="1" x14ac:dyDescent="0.2">
      <c r="A76" s="454" t="s">
        <v>540</v>
      </c>
      <c r="B76" s="454" t="s">
        <v>541</v>
      </c>
      <c r="C76" s="454" t="s">
        <v>289</v>
      </c>
      <c r="D76" s="454" t="s">
        <v>499</v>
      </c>
      <c r="E76" s="311">
        <f>'d3'!E76-'d3 до МВК'!E76</f>
        <v>0</v>
      </c>
      <c r="F76" s="311">
        <f>'d3'!F76-'d3 до МВК'!F76</f>
        <v>0</v>
      </c>
      <c r="G76" s="311">
        <f>'d3'!G76-'d3 до МВК'!G76</f>
        <v>0</v>
      </c>
      <c r="H76" s="311">
        <f>'d3'!H76-'d3 до МВК'!H76</f>
        <v>0</v>
      </c>
      <c r="I76" s="311">
        <f>'d3'!I76-'d3 до МВК'!I76</f>
        <v>0</v>
      </c>
      <c r="J76" s="311">
        <f>'d3'!J76-'d3 до МВК'!J76</f>
        <v>0</v>
      </c>
      <c r="K76" s="311">
        <f>'d3'!K76-'d3 до МВК'!K76</f>
        <v>0</v>
      </c>
      <c r="L76" s="311">
        <f>'d3'!L76-'d3 до МВК'!L76</f>
        <v>0</v>
      </c>
      <c r="M76" s="311">
        <f>'d3'!M76-'d3 до МВК'!M76</f>
        <v>0</v>
      </c>
      <c r="N76" s="311">
        <f>'d3'!N76-'d3 до МВК'!N76</f>
        <v>0</v>
      </c>
      <c r="O76" s="311">
        <f>'d3'!O76-'d3 до МВК'!O76</f>
        <v>0</v>
      </c>
      <c r="P76" s="311">
        <f>'d3'!P76-'d3 до МВК'!P76</f>
        <v>0</v>
      </c>
    </row>
    <row r="77" spans="1:16" s="118" customFormat="1" ht="320.25" customHeight="1" x14ac:dyDescent="0.2">
      <c r="A77" s="454" t="s">
        <v>547</v>
      </c>
      <c r="B77" s="454" t="s">
        <v>548</v>
      </c>
      <c r="C77" s="454" t="s">
        <v>273</v>
      </c>
      <c r="D77" s="454" t="s">
        <v>549</v>
      </c>
      <c r="E77" s="311">
        <f>'d3'!E77-'d3 до МВК'!E77</f>
        <v>0</v>
      </c>
      <c r="F77" s="311">
        <f>'d3'!F77-'d3 до МВК'!F77</f>
        <v>0</v>
      </c>
      <c r="G77" s="311">
        <f>'d3'!G77-'d3 до МВК'!G77</f>
        <v>0</v>
      </c>
      <c r="H77" s="311">
        <f>'d3'!H77-'d3 до МВК'!H77</f>
        <v>0</v>
      </c>
      <c r="I77" s="311">
        <f>'d3'!I77-'d3 до МВК'!I77</f>
        <v>0</v>
      </c>
      <c r="J77" s="311">
        <f>'d3'!J77-'d3 до МВК'!J77</f>
        <v>0</v>
      </c>
      <c r="K77" s="311">
        <f>'d3'!K77-'d3 до МВК'!K77</f>
        <v>0</v>
      </c>
      <c r="L77" s="311">
        <f>'d3'!L77-'d3 до МВК'!L77</f>
        <v>0</v>
      </c>
      <c r="M77" s="311">
        <f>'d3'!M77-'d3 до МВК'!M77</f>
        <v>0</v>
      </c>
      <c r="N77" s="311">
        <f>'d3'!N77-'d3 до МВК'!N77</f>
        <v>0</v>
      </c>
      <c r="O77" s="311">
        <f>'d3'!O77-'d3 до МВК'!O77</f>
        <v>0</v>
      </c>
      <c r="P77" s="311">
        <f>'d3'!P77-'d3 до МВК'!P77</f>
        <v>0</v>
      </c>
    </row>
    <row r="78" spans="1:16" s="118" customFormat="1" ht="320.25" x14ac:dyDescent="0.2">
      <c r="A78" s="454" t="s">
        <v>545</v>
      </c>
      <c r="B78" s="454" t="s">
        <v>546</v>
      </c>
      <c r="C78" s="454" t="s">
        <v>289</v>
      </c>
      <c r="D78" s="454" t="s">
        <v>550</v>
      </c>
      <c r="E78" s="311">
        <f>'d3'!E78-'d3 до МВК'!E78</f>
        <v>0</v>
      </c>
      <c r="F78" s="311">
        <f>'d3'!F78-'d3 до МВК'!F78</f>
        <v>0</v>
      </c>
      <c r="G78" s="311">
        <f>'d3'!G78-'d3 до МВК'!G78</f>
        <v>0</v>
      </c>
      <c r="H78" s="311">
        <f>'d3'!H78-'d3 до МВК'!H78</f>
        <v>0</v>
      </c>
      <c r="I78" s="311">
        <f>'d3'!I78-'d3 до МВК'!I78</f>
        <v>0</v>
      </c>
      <c r="J78" s="311">
        <f>'d3'!J78-'d3 до МВК'!J78</f>
        <v>0</v>
      </c>
      <c r="K78" s="311">
        <f>'d3'!K78-'d3 до МВК'!K78</f>
        <v>0</v>
      </c>
      <c r="L78" s="311">
        <f>'d3'!L78-'d3 до МВК'!L78</f>
        <v>0</v>
      </c>
      <c r="M78" s="311">
        <f>'d3'!M78-'d3 до МВК'!M78</f>
        <v>0</v>
      </c>
      <c r="N78" s="311">
        <f>'d3'!N78-'d3 до МВК'!N78</f>
        <v>0</v>
      </c>
      <c r="O78" s="311">
        <f>'d3'!O78-'d3 до МВК'!O78</f>
        <v>0</v>
      </c>
      <c r="P78" s="311">
        <f>'d3'!P78-'d3 до МВК'!P78</f>
        <v>0</v>
      </c>
    </row>
    <row r="79" spans="1:16" s="118" customFormat="1" ht="364.7" customHeight="1" x14ac:dyDescent="0.65">
      <c r="A79" s="476" t="s">
        <v>870</v>
      </c>
      <c r="B79" s="476" t="s">
        <v>871</v>
      </c>
      <c r="C79" s="476" t="s">
        <v>273</v>
      </c>
      <c r="D79" s="273" t="s">
        <v>872</v>
      </c>
      <c r="E79" s="491">
        <f>'d3'!E79-'d3 до МВК'!E79</f>
        <v>0</v>
      </c>
      <c r="F79" s="491">
        <f>'d3'!F79-'d3 до МВК'!F79</f>
        <v>0</v>
      </c>
      <c r="G79" s="491">
        <f>'d3'!G79-'d3 до МВК'!G79</f>
        <v>0</v>
      </c>
      <c r="H79" s="491">
        <f>'d3'!H79-'d3 до МВК'!H79</f>
        <v>0</v>
      </c>
      <c r="I79" s="491">
        <f>'d3'!I79-'d3 до МВК'!I79</f>
        <v>0</v>
      </c>
      <c r="J79" s="491">
        <f>'d3'!J79-'d3 до МВК'!J79</f>
        <v>0</v>
      </c>
      <c r="K79" s="491">
        <f>'d3'!K79-'d3 до МВК'!K79</f>
        <v>0</v>
      </c>
      <c r="L79" s="491">
        <f>'d3'!L79-'d3 до МВК'!L79</f>
        <v>0</v>
      </c>
      <c r="M79" s="491">
        <f>'d3'!M79-'d3 до МВК'!M79</f>
        <v>0</v>
      </c>
      <c r="N79" s="491">
        <f>'d3'!N79-'d3 до МВК'!N79</f>
        <v>0</v>
      </c>
      <c r="O79" s="491">
        <f>'d3'!O79-'d3 до МВК'!O79</f>
        <v>0</v>
      </c>
      <c r="P79" s="491">
        <f>'d3'!P79-'d3 до МВК'!P79</f>
        <v>0</v>
      </c>
    </row>
    <row r="80" spans="1:16" s="118" customFormat="1" ht="334.5" customHeight="1" x14ac:dyDescent="0.2">
      <c r="A80" s="477"/>
      <c r="B80" s="477"/>
      <c r="C80" s="477"/>
      <c r="D80" s="274" t="s">
        <v>873</v>
      </c>
      <c r="E80" s="469"/>
      <c r="F80" s="469"/>
      <c r="G80" s="469"/>
      <c r="H80" s="469"/>
      <c r="I80" s="469"/>
      <c r="J80" s="469"/>
      <c r="K80" s="469"/>
      <c r="L80" s="469"/>
      <c r="M80" s="469"/>
      <c r="N80" s="469"/>
      <c r="O80" s="469"/>
      <c r="P80" s="469"/>
    </row>
    <row r="81" spans="1:16" s="118" customFormat="1" ht="137.25" x14ac:dyDescent="0.2">
      <c r="A81" s="454" t="s">
        <v>904</v>
      </c>
      <c r="B81" s="454" t="s">
        <v>905</v>
      </c>
      <c r="C81" s="454" t="s">
        <v>273</v>
      </c>
      <c r="D81" s="454" t="s">
        <v>906</v>
      </c>
      <c r="E81" s="311">
        <f>'d3'!E81-'d3 до МВК'!E81</f>
        <v>0</v>
      </c>
      <c r="F81" s="311">
        <f>'d3'!F81-'d3 до МВК'!F81</f>
        <v>0</v>
      </c>
      <c r="G81" s="311">
        <f>'d3'!G81-'d3 до МВК'!G81</f>
        <v>0</v>
      </c>
      <c r="H81" s="311">
        <f>'d3'!H81-'d3 до МВК'!H81</f>
        <v>0</v>
      </c>
      <c r="I81" s="311">
        <f>'d3'!I81-'d3 до МВК'!I81</f>
        <v>0</v>
      </c>
      <c r="J81" s="311">
        <f>'d3'!J81-'d3 до МВК'!J81</f>
        <v>0</v>
      </c>
      <c r="K81" s="311">
        <f>'d3'!K81-'d3 до МВК'!K81</f>
        <v>0</v>
      </c>
      <c r="L81" s="311">
        <f>'d3'!L81-'d3 до МВК'!L81</f>
        <v>0</v>
      </c>
      <c r="M81" s="311">
        <f>'d3'!M81-'d3 до МВК'!M81</f>
        <v>0</v>
      </c>
      <c r="N81" s="311">
        <f>'d3'!N81-'d3 до МВК'!N81</f>
        <v>0</v>
      </c>
      <c r="O81" s="311">
        <f>'d3'!O81-'d3 до МВК'!O81</f>
        <v>0</v>
      </c>
      <c r="P81" s="311">
        <f>'d3'!P81-'d3 до МВК'!P81</f>
        <v>0</v>
      </c>
    </row>
    <row r="82" spans="1:16" ht="163.5" customHeight="1" x14ac:dyDescent="0.2">
      <c r="A82" s="454" t="s">
        <v>377</v>
      </c>
      <c r="B82" s="454" t="s">
        <v>368</v>
      </c>
      <c r="C82" s="454" t="s">
        <v>296</v>
      </c>
      <c r="D82" s="454" t="s">
        <v>500</v>
      </c>
      <c r="E82" s="311">
        <f>'d3'!E82-'d3 до МВК'!E82</f>
        <v>0</v>
      </c>
      <c r="F82" s="311">
        <f>'d3'!F82-'d3 до МВК'!F82</f>
        <v>0</v>
      </c>
      <c r="G82" s="311">
        <f>'d3'!G82-'d3 до МВК'!G82</f>
        <v>0</v>
      </c>
      <c r="H82" s="311">
        <f>'d3'!H82-'d3 до МВК'!H82</f>
        <v>0</v>
      </c>
      <c r="I82" s="311">
        <f>'d3'!I82-'d3 до МВК'!I82</f>
        <v>0</v>
      </c>
      <c r="J82" s="311">
        <f>'d3'!J82-'d3 до МВК'!J82</f>
        <v>0</v>
      </c>
      <c r="K82" s="311">
        <f>'d3'!K82-'d3 до МВК'!K82</f>
        <v>0</v>
      </c>
      <c r="L82" s="311">
        <f>'d3'!L82-'d3 до МВК'!L82</f>
        <v>0</v>
      </c>
      <c r="M82" s="311">
        <f>'d3'!M82-'d3 до МВК'!M82</f>
        <v>0</v>
      </c>
      <c r="N82" s="311">
        <f>'d3'!N82-'d3 до МВК'!N82</f>
        <v>0</v>
      </c>
      <c r="O82" s="311">
        <f>'d3'!O82-'d3 до МВК'!O82</f>
        <v>0</v>
      </c>
      <c r="P82" s="311">
        <f>'d3'!P82-'d3 до МВК'!P82</f>
        <v>0</v>
      </c>
    </row>
    <row r="83" spans="1:16" ht="301.7" customHeight="1" x14ac:dyDescent="0.2">
      <c r="A83" s="454" t="s">
        <v>398</v>
      </c>
      <c r="B83" s="454" t="s">
        <v>396</v>
      </c>
      <c r="C83" s="454" t="s">
        <v>290</v>
      </c>
      <c r="D83" s="454" t="s">
        <v>35</v>
      </c>
      <c r="E83" s="311">
        <f>'d3'!E83-'d3 до МВК'!E83</f>
        <v>0</v>
      </c>
      <c r="F83" s="311">
        <f>'d3'!F83-'d3 до МВК'!F83</f>
        <v>0</v>
      </c>
      <c r="G83" s="311">
        <f>'d3'!G83-'d3 до МВК'!G83</f>
        <v>0</v>
      </c>
      <c r="H83" s="311">
        <f>'d3'!H83-'d3 до МВК'!H83</f>
        <v>0</v>
      </c>
      <c r="I83" s="311">
        <f>'d3'!I83-'d3 до МВК'!I83</f>
        <v>0</v>
      </c>
      <c r="J83" s="311">
        <f>'d3'!J83-'d3 до МВК'!J83</f>
        <v>0</v>
      </c>
      <c r="K83" s="311">
        <f>'d3'!K83-'d3 до МВК'!K83</f>
        <v>0</v>
      </c>
      <c r="L83" s="311">
        <f>'d3'!L83-'d3 до МВК'!L83</f>
        <v>0</v>
      </c>
      <c r="M83" s="311">
        <f>'d3'!M83-'d3 до МВК'!M83</f>
        <v>0</v>
      </c>
      <c r="N83" s="311">
        <f>'d3'!N83-'d3 до МВК'!N83</f>
        <v>0</v>
      </c>
      <c r="O83" s="311">
        <f>'d3'!O83-'d3 до МВК'!O83</f>
        <v>0</v>
      </c>
      <c r="P83" s="311">
        <f>'d3'!P83-'d3 до МВК'!P83</f>
        <v>0</v>
      </c>
    </row>
    <row r="84" spans="1:16" ht="183" customHeight="1" x14ac:dyDescent="0.2">
      <c r="A84" s="454" t="s">
        <v>399</v>
      </c>
      <c r="B84" s="454" t="s">
        <v>397</v>
      </c>
      <c r="C84" s="454" t="s">
        <v>289</v>
      </c>
      <c r="D84" s="454" t="s">
        <v>501</v>
      </c>
      <c r="E84" s="311">
        <f>'d3'!E84-'d3 до МВК'!E84</f>
        <v>0</v>
      </c>
      <c r="F84" s="311">
        <f>'d3'!F84-'d3 до МВК'!F84</f>
        <v>0</v>
      </c>
      <c r="G84" s="311">
        <f>'d3'!G84-'d3 до МВК'!G84</f>
        <v>0</v>
      </c>
      <c r="H84" s="311">
        <f>'d3'!H84-'d3 до МВК'!H84</f>
        <v>0</v>
      </c>
      <c r="I84" s="311">
        <f>'d3'!I84-'d3 до МВК'!I84</f>
        <v>0</v>
      </c>
      <c r="J84" s="311">
        <f>'d3'!J84-'d3 до МВК'!J84</f>
        <v>0</v>
      </c>
      <c r="K84" s="311">
        <f>'d3'!K84-'d3 до МВК'!K84</f>
        <v>0</v>
      </c>
      <c r="L84" s="311">
        <f>'d3'!L84-'d3 до МВК'!L84</f>
        <v>0</v>
      </c>
      <c r="M84" s="311">
        <f>'d3'!M84-'d3 до МВК'!M84</f>
        <v>0</v>
      </c>
      <c r="N84" s="311">
        <f>'d3'!N84-'d3 до МВК'!N84</f>
        <v>0</v>
      </c>
      <c r="O84" s="311">
        <f>'d3'!O84-'d3 до МВК'!O84</f>
        <v>0</v>
      </c>
      <c r="P84" s="311">
        <f>'d3'!P84-'d3 до МВК'!P84</f>
        <v>0</v>
      </c>
    </row>
    <row r="85" spans="1:16" ht="409.5" x14ac:dyDescent="0.2">
      <c r="A85" s="454" t="s">
        <v>394</v>
      </c>
      <c r="B85" s="454" t="s">
        <v>395</v>
      </c>
      <c r="C85" s="454" t="s">
        <v>289</v>
      </c>
      <c r="D85" s="454" t="s">
        <v>502</v>
      </c>
      <c r="E85" s="311">
        <f>'d3'!E85-'d3 до МВК'!E85</f>
        <v>0</v>
      </c>
      <c r="F85" s="311">
        <f>'d3'!F85-'d3 до МВК'!F85</f>
        <v>0</v>
      </c>
      <c r="G85" s="311">
        <f>'d3'!G85-'d3 до МВК'!G85</f>
        <v>0</v>
      </c>
      <c r="H85" s="311">
        <f>'d3'!H85-'d3 до МВК'!H85</f>
        <v>0</v>
      </c>
      <c r="I85" s="311">
        <f>'d3'!I85-'d3 до МВК'!I85</f>
        <v>0</v>
      </c>
      <c r="J85" s="311">
        <f>'d3'!J85-'d3 до МВК'!J85</f>
        <v>0</v>
      </c>
      <c r="K85" s="311">
        <f>'d3'!K85-'d3 до МВК'!K85</f>
        <v>0</v>
      </c>
      <c r="L85" s="311">
        <f>'d3'!L85-'d3 до МВК'!L85</f>
        <v>0</v>
      </c>
      <c r="M85" s="311">
        <f>'d3'!M85-'d3 до МВК'!M85</f>
        <v>0</v>
      </c>
      <c r="N85" s="311">
        <f>'d3'!N85-'d3 до МВК'!N85</f>
        <v>0</v>
      </c>
      <c r="O85" s="311">
        <f>'d3'!O85-'d3 до МВК'!O85</f>
        <v>0</v>
      </c>
      <c r="P85" s="311">
        <f>'d3'!P85-'d3 до МВК'!P85</f>
        <v>0</v>
      </c>
    </row>
    <row r="86" spans="1:16" ht="320.25" customHeight="1" x14ac:dyDescent="0.2">
      <c r="A86" s="454" t="s">
        <v>503</v>
      </c>
      <c r="B86" s="454" t="s">
        <v>504</v>
      </c>
      <c r="C86" s="454" t="s">
        <v>289</v>
      </c>
      <c r="D86" s="454" t="s">
        <v>551</v>
      </c>
      <c r="E86" s="311">
        <f>'d3'!E86-'d3 до МВК'!E86</f>
        <v>0</v>
      </c>
      <c r="F86" s="311">
        <f>'d3'!F86-'d3 до МВК'!F86</f>
        <v>0</v>
      </c>
      <c r="G86" s="311">
        <f>'d3'!G86-'d3 до МВК'!G86</f>
        <v>0</v>
      </c>
      <c r="H86" s="311">
        <f>'d3'!H86-'d3 до МВК'!H86</f>
        <v>0</v>
      </c>
      <c r="I86" s="311">
        <f>'d3'!I86-'d3 до МВК'!I86</f>
        <v>0</v>
      </c>
      <c r="J86" s="311">
        <f>'d3'!J86-'d3 до МВК'!J86</f>
        <v>0</v>
      </c>
      <c r="K86" s="311">
        <f>'d3'!K86-'d3 до МВК'!K86</f>
        <v>0</v>
      </c>
      <c r="L86" s="311">
        <f>'d3'!L86-'d3 до МВК'!L86</f>
        <v>0</v>
      </c>
      <c r="M86" s="311">
        <f>'d3'!M86-'d3 до МВК'!M86</f>
        <v>0</v>
      </c>
      <c r="N86" s="311">
        <f>'d3'!N86-'d3 до МВК'!N86</f>
        <v>0</v>
      </c>
      <c r="O86" s="311">
        <f>'d3'!O86-'d3 до МВК'!O86</f>
        <v>0</v>
      </c>
      <c r="P86" s="311">
        <f>'d3'!P86-'d3 до МВК'!P86</f>
        <v>0</v>
      </c>
    </row>
    <row r="87" spans="1:16" ht="112.7" customHeight="1" x14ac:dyDescent="0.2">
      <c r="A87" s="454" t="s">
        <v>505</v>
      </c>
      <c r="B87" s="454" t="s">
        <v>506</v>
      </c>
      <c r="C87" s="454" t="s">
        <v>289</v>
      </c>
      <c r="D87" s="454" t="s">
        <v>552</v>
      </c>
      <c r="E87" s="311">
        <f>'d3'!E87-'d3 до МВК'!E87</f>
        <v>0</v>
      </c>
      <c r="F87" s="311">
        <f>'d3'!F87-'d3 до МВК'!F87</f>
        <v>0</v>
      </c>
      <c r="G87" s="311">
        <f>'d3'!G87-'d3 до МВК'!G87</f>
        <v>0</v>
      </c>
      <c r="H87" s="311">
        <f>'d3'!H87-'d3 до МВК'!H87</f>
        <v>0</v>
      </c>
      <c r="I87" s="311">
        <f>'d3'!I87-'d3 до МВК'!I87</f>
        <v>0</v>
      </c>
      <c r="J87" s="311">
        <f>'d3'!J87-'d3 до МВК'!J87</f>
        <v>0</v>
      </c>
      <c r="K87" s="311">
        <f>'d3'!K87-'d3 до МВК'!K87</f>
        <v>0</v>
      </c>
      <c r="L87" s="311">
        <f>'d3'!L87-'d3 до МВК'!L87</f>
        <v>0</v>
      </c>
      <c r="M87" s="311">
        <f>'d3'!M87-'d3 до МВК'!M87</f>
        <v>0</v>
      </c>
      <c r="N87" s="311">
        <f>'d3'!N87-'d3 до МВК'!N87</f>
        <v>0</v>
      </c>
      <c r="O87" s="311">
        <f>'d3'!O87-'d3 до МВК'!O87</f>
        <v>0</v>
      </c>
      <c r="P87" s="311">
        <f>'d3'!P87-'d3 до МВК'!P87</f>
        <v>0</v>
      </c>
    </row>
    <row r="88" spans="1:16" ht="409.5" customHeight="1" x14ac:dyDescent="0.2">
      <c r="A88" s="454" t="s">
        <v>555</v>
      </c>
      <c r="B88" s="454" t="s">
        <v>554</v>
      </c>
      <c r="C88" s="454" t="s">
        <v>79</v>
      </c>
      <c r="D88" s="454" t="s">
        <v>553</v>
      </c>
      <c r="E88" s="311">
        <f>'d3'!E88-'d3 до МВК'!E88</f>
        <v>0</v>
      </c>
      <c r="F88" s="311">
        <f>'d3'!F88-'d3 до МВК'!F88</f>
        <v>0</v>
      </c>
      <c r="G88" s="311">
        <f>'d3'!G88-'d3 до МВК'!G88</f>
        <v>0</v>
      </c>
      <c r="H88" s="311">
        <f>'d3'!H88-'d3 до МВК'!H88</f>
        <v>0</v>
      </c>
      <c r="I88" s="311">
        <f>'d3'!I88-'d3 до МВК'!I88</f>
        <v>0</v>
      </c>
      <c r="J88" s="311">
        <f>'d3'!J88-'d3 до МВК'!J88</f>
        <v>0</v>
      </c>
      <c r="K88" s="311">
        <f>'d3'!K88-'d3 до МВК'!K88</f>
        <v>0</v>
      </c>
      <c r="L88" s="311">
        <f>'d3'!L88-'d3 до МВК'!L88</f>
        <v>0</v>
      </c>
      <c r="M88" s="311">
        <f>'d3'!M88-'d3 до МВК'!M88</f>
        <v>0</v>
      </c>
      <c r="N88" s="311">
        <f>'d3'!N88-'d3 до МВК'!N88</f>
        <v>0</v>
      </c>
      <c r="O88" s="311">
        <f>'d3'!O88-'d3 до МВК'!O88</f>
        <v>0</v>
      </c>
      <c r="P88" s="311">
        <f>'d3'!P88-'d3 до МВК'!P88</f>
        <v>0</v>
      </c>
    </row>
    <row r="89" spans="1:16" ht="274.5" customHeight="1" x14ac:dyDescent="0.2">
      <c r="A89" s="454" t="s">
        <v>507</v>
      </c>
      <c r="B89" s="454" t="s">
        <v>508</v>
      </c>
      <c r="C89" s="454" t="s">
        <v>296</v>
      </c>
      <c r="D89" s="454" t="s">
        <v>556</v>
      </c>
      <c r="E89" s="311">
        <f>'d3'!E89-'d3 до МВК'!E89</f>
        <v>0</v>
      </c>
      <c r="F89" s="311">
        <f>'d3'!F89-'d3 до МВК'!F89</f>
        <v>0</v>
      </c>
      <c r="G89" s="311">
        <f>'d3'!G89-'d3 до МВК'!G89</f>
        <v>0</v>
      </c>
      <c r="H89" s="311">
        <f>'d3'!H89-'d3 до МВК'!H89</f>
        <v>0</v>
      </c>
      <c r="I89" s="311">
        <f>'d3'!I89-'d3 до МВК'!I89</f>
        <v>0</v>
      </c>
      <c r="J89" s="311">
        <f>'d3'!J89-'d3 до МВК'!J89</f>
        <v>0</v>
      </c>
      <c r="K89" s="311">
        <f>'d3'!K89-'d3 до МВК'!K89</f>
        <v>0</v>
      </c>
      <c r="L89" s="311">
        <f>'d3'!L89-'d3 до МВК'!L89</f>
        <v>0</v>
      </c>
      <c r="M89" s="311">
        <f>'d3'!M89-'d3 до МВК'!M89</f>
        <v>0</v>
      </c>
      <c r="N89" s="311">
        <f>'d3'!N89-'d3 до МВК'!N89</f>
        <v>0</v>
      </c>
      <c r="O89" s="311">
        <f>'d3'!O89-'d3 до МВК'!O89</f>
        <v>0</v>
      </c>
      <c r="P89" s="311">
        <f>'d3'!P89-'d3 до МВК'!P89</f>
        <v>0</v>
      </c>
    </row>
    <row r="90" spans="1:16" ht="91.5" x14ac:dyDescent="0.2">
      <c r="A90" s="454" t="s">
        <v>766</v>
      </c>
      <c r="B90" s="454" t="s">
        <v>616</v>
      </c>
      <c r="C90" s="454" t="s">
        <v>617</v>
      </c>
      <c r="D90" s="454" t="s">
        <v>615</v>
      </c>
      <c r="E90" s="311">
        <f>'d3'!E90-'d3 до МВК'!E90</f>
        <v>0</v>
      </c>
      <c r="F90" s="311">
        <f>'d3'!F90-'d3 до МВК'!F90</f>
        <v>0</v>
      </c>
      <c r="G90" s="311">
        <f>'d3'!G90-'d3 до МВК'!G90</f>
        <v>0</v>
      </c>
      <c r="H90" s="311">
        <f>'d3'!H90-'d3 до МВК'!H90</f>
        <v>0</v>
      </c>
      <c r="I90" s="311">
        <f>'d3'!I90-'d3 до МВК'!I90</f>
        <v>0</v>
      </c>
      <c r="J90" s="311">
        <f>'d3'!J90-'d3 до МВК'!J90</f>
        <v>0</v>
      </c>
      <c r="K90" s="311">
        <f>'d3'!K90-'d3 до МВК'!K90</f>
        <v>0</v>
      </c>
      <c r="L90" s="311">
        <f>'d3'!L90-'d3 до МВК'!L90</f>
        <v>0</v>
      </c>
      <c r="M90" s="311">
        <f>'d3'!M90-'d3 до МВК'!M90</f>
        <v>0</v>
      </c>
      <c r="N90" s="311">
        <f>'d3'!N90-'d3 до МВК'!N90</f>
        <v>0</v>
      </c>
      <c r="O90" s="311">
        <f>'d3'!O90-'d3 до МВК'!O90</f>
        <v>0</v>
      </c>
      <c r="P90" s="311">
        <f>'d3'!P90-'d3 до МВК'!P90</f>
        <v>0</v>
      </c>
    </row>
    <row r="91" spans="1:16" ht="409.5" x14ac:dyDescent="0.2">
      <c r="A91" s="476" t="s">
        <v>925</v>
      </c>
      <c r="B91" s="476" t="s">
        <v>926</v>
      </c>
      <c r="C91" s="476" t="s">
        <v>79</v>
      </c>
      <c r="D91" s="276" t="s">
        <v>927</v>
      </c>
      <c r="E91" s="491">
        <f>'d3'!E91-'d3 до МВК'!E91</f>
        <v>0</v>
      </c>
      <c r="F91" s="491">
        <f>'d3'!F91-'d3 до МВК'!F91</f>
        <v>0</v>
      </c>
      <c r="G91" s="491">
        <f>'d3'!G91-'d3 до МВК'!G91</f>
        <v>0</v>
      </c>
      <c r="H91" s="491">
        <f>'d3'!H91-'d3 до МВК'!H91</f>
        <v>0</v>
      </c>
      <c r="I91" s="491">
        <f>'d3'!I91-'d3 до МВК'!I91</f>
        <v>0</v>
      </c>
      <c r="J91" s="491">
        <f>'d3'!J91-'d3 до МВК'!J91</f>
        <v>0</v>
      </c>
      <c r="K91" s="491">
        <f>'d3'!K91-'d3 до МВК'!K91</f>
        <v>0</v>
      </c>
      <c r="L91" s="491">
        <f>'d3'!L91-'d3 до МВК'!L91</f>
        <v>0</v>
      </c>
      <c r="M91" s="491">
        <f>'d3'!M91-'d3 до МВК'!M91</f>
        <v>0</v>
      </c>
      <c r="N91" s="491">
        <f>'d3'!N91-'d3 до МВК'!N91</f>
        <v>0</v>
      </c>
      <c r="O91" s="491">
        <f>'d3'!O91-'d3 до МВК'!O91</f>
        <v>0</v>
      </c>
      <c r="P91" s="491">
        <f>'d3'!P91-'d3 до МВК'!P91</f>
        <v>0</v>
      </c>
    </row>
    <row r="92" spans="1:16" ht="409.5" x14ac:dyDescent="0.2">
      <c r="A92" s="492"/>
      <c r="B92" s="492"/>
      <c r="C92" s="492"/>
      <c r="D92" s="276" t="s">
        <v>928</v>
      </c>
      <c r="E92" s="589"/>
      <c r="F92" s="589"/>
      <c r="G92" s="589"/>
      <c r="H92" s="589"/>
      <c r="I92" s="589"/>
      <c r="J92" s="589"/>
      <c r="K92" s="589"/>
      <c r="L92" s="589"/>
      <c r="M92" s="589"/>
      <c r="N92" s="589"/>
      <c r="O92" s="589"/>
      <c r="P92" s="589"/>
    </row>
    <row r="93" spans="1:16" ht="409.5" x14ac:dyDescent="0.2">
      <c r="A93" s="477"/>
      <c r="B93" s="477"/>
      <c r="C93" s="477"/>
      <c r="D93" s="277" t="s">
        <v>929</v>
      </c>
      <c r="E93" s="469"/>
      <c r="F93" s="469"/>
      <c r="G93" s="469"/>
      <c r="H93" s="469"/>
      <c r="I93" s="469"/>
      <c r="J93" s="469"/>
      <c r="K93" s="469"/>
      <c r="L93" s="469"/>
      <c r="M93" s="469"/>
      <c r="N93" s="469"/>
      <c r="O93" s="469"/>
      <c r="P93" s="469"/>
    </row>
    <row r="94" spans="1:16" ht="409.5" x14ac:dyDescent="0.2">
      <c r="A94" s="507">
        <v>813222</v>
      </c>
      <c r="B94" s="507">
        <v>3222</v>
      </c>
      <c r="C94" s="507">
        <v>1060</v>
      </c>
      <c r="D94" s="339" t="s">
        <v>978</v>
      </c>
      <c r="E94" s="491">
        <f>'d3'!E94-'d3 до МВК'!E94</f>
        <v>0</v>
      </c>
      <c r="F94" s="491">
        <f>'d3'!F94-'d3 до МВК'!F94</f>
        <v>0</v>
      </c>
      <c r="G94" s="491">
        <f>'d3'!G94-'d3 до МВК'!G94</f>
        <v>0</v>
      </c>
      <c r="H94" s="491">
        <f>'d3'!H94-'d3 до МВК'!H94</f>
        <v>0</v>
      </c>
      <c r="I94" s="491">
        <f>'d3'!I94-'d3 до МВК'!I94</f>
        <v>0</v>
      </c>
      <c r="J94" s="491">
        <f>'d3'!J94-'d3 до МВК'!J94</f>
        <v>0</v>
      </c>
      <c r="K94" s="491">
        <f>'d3'!K94-'d3 до МВК'!K94</f>
        <v>0</v>
      </c>
      <c r="L94" s="491">
        <f>'d3'!L94-'d3 до МВК'!L94</f>
        <v>0</v>
      </c>
      <c r="M94" s="491">
        <f>'d3'!M94-'d3 до МВК'!M94</f>
        <v>0</v>
      </c>
      <c r="N94" s="491">
        <f>'d3'!N94-'d3 до МВК'!N94</f>
        <v>0</v>
      </c>
      <c r="O94" s="491">
        <f>'d3'!O94-'d3 до МВК'!O94</f>
        <v>0</v>
      </c>
      <c r="P94" s="491">
        <f>'d3'!P94-'d3 до МВК'!P94</f>
        <v>0</v>
      </c>
    </row>
    <row r="95" spans="1:16" ht="409.5" x14ac:dyDescent="0.2">
      <c r="A95" s="504"/>
      <c r="B95" s="504"/>
      <c r="C95" s="504"/>
      <c r="D95" s="277" t="s">
        <v>979</v>
      </c>
      <c r="E95" s="589"/>
      <c r="F95" s="589">
        <f>'d3'!F95-'d3 до МВК'!F95</f>
        <v>0</v>
      </c>
      <c r="G95" s="589">
        <f>'d3'!G95-'d3 до МВК'!G95</f>
        <v>0</v>
      </c>
      <c r="H95" s="589">
        <f>'d3'!H95-'d3 до МВК'!H95</f>
        <v>0</v>
      </c>
      <c r="I95" s="589">
        <f>'d3'!I95-'d3 до МВК'!I95</f>
        <v>0</v>
      </c>
      <c r="J95" s="589">
        <f>'d3'!J95-'d3 до МВК'!J95</f>
        <v>0</v>
      </c>
      <c r="K95" s="589">
        <f>'d3'!K95-'d3 до МВК'!K95</f>
        <v>0</v>
      </c>
      <c r="L95" s="589">
        <f>'d3'!L95-'d3 до МВК'!L95</f>
        <v>0</v>
      </c>
      <c r="M95" s="589">
        <f>'d3'!M95-'d3 до МВК'!M95</f>
        <v>0</v>
      </c>
      <c r="N95" s="589">
        <f>'d3'!N95-'d3 до МВК'!N95</f>
        <v>0</v>
      </c>
      <c r="O95" s="589">
        <f>'d3'!O95-'d3 до МВК'!O95</f>
        <v>0</v>
      </c>
      <c r="P95" s="589">
        <f>'d3'!P95-'d3 до МВК'!P95</f>
        <v>0</v>
      </c>
    </row>
    <row r="96" spans="1:16" ht="409.5" x14ac:dyDescent="0.2">
      <c r="A96" s="504"/>
      <c r="B96" s="504"/>
      <c r="C96" s="504"/>
      <c r="D96" s="277" t="s">
        <v>980</v>
      </c>
      <c r="E96" s="589"/>
      <c r="F96" s="589">
        <f>'d3'!F96-'d3 до МВК'!F96</f>
        <v>0</v>
      </c>
      <c r="G96" s="589">
        <f>'d3'!G96-'d3 до МВК'!G96</f>
        <v>0</v>
      </c>
      <c r="H96" s="589">
        <f>'d3'!H96-'d3 до МВК'!H96</f>
        <v>0</v>
      </c>
      <c r="I96" s="589">
        <f>'d3'!I96-'d3 до МВК'!I96</f>
        <v>0</v>
      </c>
      <c r="J96" s="589">
        <f>'d3'!J96-'d3 до МВК'!J96</f>
        <v>0</v>
      </c>
      <c r="K96" s="589">
        <f>'d3'!K96-'d3 до МВК'!K96</f>
        <v>0</v>
      </c>
      <c r="L96" s="589">
        <f>'d3'!L96-'d3 до МВК'!L96</f>
        <v>0</v>
      </c>
      <c r="M96" s="589">
        <f>'d3'!M96-'d3 до МВК'!M96</f>
        <v>0</v>
      </c>
      <c r="N96" s="589">
        <f>'d3'!N96-'d3 до МВК'!N96</f>
        <v>0</v>
      </c>
      <c r="O96" s="589">
        <f>'d3'!O96-'d3 до МВК'!O96</f>
        <v>0</v>
      </c>
      <c r="P96" s="589">
        <f>'d3'!P96-'d3 до МВК'!P96</f>
        <v>0</v>
      </c>
    </row>
    <row r="97" spans="1:16" ht="183" customHeight="1" x14ac:dyDescent="0.2">
      <c r="A97" s="505"/>
      <c r="B97" s="505"/>
      <c r="C97" s="505"/>
      <c r="D97" s="277" t="s">
        <v>981</v>
      </c>
      <c r="E97" s="469"/>
      <c r="F97" s="469">
        <f>'d3'!F97-'d3 до МВК'!F97</f>
        <v>0</v>
      </c>
      <c r="G97" s="469">
        <f>'d3'!G97-'d3 до МВК'!G97</f>
        <v>0</v>
      </c>
      <c r="H97" s="469">
        <f>'d3'!H97-'d3 до МВК'!H97</f>
        <v>0</v>
      </c>
      <c r="I97" s="469">
        <f>'d3'!I97-'d3 до МВК'!I97</f>
        <v>0</v>
      </c>
      <c r="J97" s="469">
        <f>'d3'!J97-'d3 до МВК'!J97</f>
        <v>0</v>
      </c>
      <c r="K97" s="469">
        <f>'d3'!K97-'d3 до МВК'!K97</f>
        <v>0</v>
      </c>
      <c r="L97" s="469">
        <f>'d3'!L97-'d3 до МВК'!L97</f>
        <v>0</v>
      </c>
      <c r="M97" s="469">
        <f>'d3'!M97-'d3 до МВК'!M97</f>
        <v>0</v>
      </c>
      <c r="N97" s="469">
        <f>'d3'!N97-'d3 до МВК'!N97</f>
        <v>0</v>
      </c>
      <c r="O97" s="469">
        <f>'d3'!O97-'d3 до МВК'!O97</f>
        <v>0</v>
      </c>
      <c r="P97" s="469">
        <f>'d3'!P97-'d3 до МВК'!P97</f>
        <v>0</v>
      </c>
    </row>
    <row r="98" spans="1:16" ht="409.5" x14ac:dyDescent="0.2">
      <c r="A98" s="476" t="s">
        <v>930</v>
      </c>
      <c r="B98" s="476" t="s">
        <v>931</v>
      </c>
      <c r="C98" s="476" t="s">
        <v>79</v>
      </c>
      <c r="D98" s="278" t="s">
        <v>932</v>
      </c>
      <c r="E98" s="491">
        <f>'d3'!E98-'d3 до МВК'!E98</f>
        <v>0</v>
      </c>
      <c r="F98" s="491">
        <f>'d3'!F98-'d3 до МВК'!F98</f>
        <v>0</v>
      </c>
      <c r="G98" s="491">
        <f>'d3'!G98-'d3 до МВК'!G98</f>
        <v>0</v>
      </c>
      <c r="H98" s="491">
        <f>'d3'!H98-'d3 до МВК'!H98</f>
        <v>0</v>
      </c>
      <c r="I98" s="491">
        <f>'d3'!I98-'d3 до МВК'!I98</f>
        <v>0</v>
      </c>
      <c r="J98" s="491">
        <f>'d3'!J98-'d3 до МВК'!J98</f>
        <v>0</v>
      </c>
      <c r="K98" s="491">
        <f>'d3'!K98-'d3 до МВК'!K98</f>
        <v>0</v>
      </c>
      <c r="L98" s="491">
        <f>'d3'!L98-'d3 до МВК'!L98</f>
        <v>0</v>
      </c>
      <c r="M98" s="491">
        <f>'d3'!M98-'d3 до МВК'!M98</f>
        <v>0</v>
      </c>
      <c r="N98" s="491">
        <f>'d3'!N98-'d3 до МВК'!N98</f>
        <v>0</v>
      </c>
      <c r="O98" s="491">
        <f>'d3'!O98-'d3 до МВК'!O98</f>
        <v>0</v>
      </c>
      <c r="P98" s="491">
        <f>'d3'!P98-'d3 до МВК'!P98</f>
        <v>0</v>
      </c>
    </row>
    <row r="99" spans="1:16" ht="409.5" x14ac:dyDescent="0.2">
      <c r="A99" s="504"/>
      <c r="B99" s="504"/>
      <c r="C99" s="504"/>
      <c r="D99" s="277" t="s">
        <v>933</v>
      </c>
      <c r="E99" s="589"/>
      <c r="F99" s="589">
        <f>'d3'!F99-'d3 до МВК'!F99</f>
        <v>0</v>
      </c>
      <c r="G99" s="589">
        <f>'d3'!G99-'d3 до МВК'!G99</f>
        <v>0</v>
      </c>
      <c r="H99" s="589">
        <f>'d3'!H99-'d3 до МВК'!H99</f>
        <v>0</v>
      </c>
      <c r="I99" s="589">
        <f>'d3'!I99-'d3 до МВК'!I99</f>
        <v>0</v>
      </c>
      <c r="J99" s="589">
        <f>'d3'!J99-'d3 до МВК'!J99</f>
        <v>0</v>
      </c>
      <c r="K99" s="589">
        <f>'d3'!K99-'d3 до МВК'!K99</f>
        <v>0</v>
      </c>
      <c r="L99" s="589">
        <f>'d3'!L99-'d3 до МВК'!L99</f>
        <v>0</v>
      </c>
      <c r="M99" s="589">
        <f>'d3'!M99-'d3 до МВК'!M99</f>
        <v>0</v>
      </c>
      <c r="N99" s="589">
        <f>'d3'!N99-'d3 до МВК'!N99</f>
        <v>0</v>
      </c>
      <c r="O99" s="589">
        <f>'d3'!O99-'d3 до МВК'!O99</f>
        <v>0</v>
      </c>
      <c r="P99" s="589">
        <f>'d3'!P99-'d3 до МВК'!P99</f>
        <v>0</v>
      </c>
    </row>
    <row r="100" spans="1:16" ht="137.25" x14ac:dyDescent="0.2">
      <c r="A100" s="505"/>
      <c r="B100" s="505"/>
      <c r="C100" s="505"/>
      <c r="D100" s="277" t="s">
        <v>934</v>
      </c>
      <c r="E100" s="469"/>
      <c r="F100" s="469">
        <f>'d3'!F100-'d3 до МВК'!F100</f>
        <v>0</v>
      </c>
      <c r="G100" s="469">
        <f>'d3'!G100-'d3 до МВК'!G100</f>
        <v>0</v>
      </c>
      <c r="H100" s="469">
        <f>'d3'!H100-'d3 до МВК'!H100</f>
        <v>0</v>
      </c>
      <c r="I100" s="469">
        <f>'d3'!I100-'d3 до МВК'!I100</f>
        <v>0</v>
      </c>
      <c r="J100" s="469">
        <f>'d3'!J100-'d3 до МВК'!J100</f>
        <v>0</v>
      </c>
      <c r="K100" s="469">
        <f>'d3'!K100-'d3 до МВК'!K100</f>
        <v>0</v>
      </c>
      <c r="L100" s="469">
        <f>'d3'!L100-'d3 до МВК'!L100</f>
        <v>0</v>
      </c>
      <c r="M100" s="469">
        <f>'d3'!M100-'d3 до МВК'!M100</f>
        <v>0</v>
      </c>
      <c r="N100" s="469">
        <f>'d3'!N100-'d3 до МВК'!N100</f>
        <v>0</v>
      </c>
      <c r="O100" s="469">
        <f>'d3'!O100-'d3 до МВК'!O100</f>
        <v>0</v>
      </c>
      <c r="P100" s="469">
        <f>'d3'!P100-'d3 до МВК'!P100</f>
        <v>0</v>
      </c>
    </row>
    <row r="101" spans="1:16" ht="409.5" x14ac:dyDescent="0.2">
      <c r="A101" s="476" t="s">
        <v>393</v>
      </c>
      <c r="B101" s="476" t="s">
        <v>280</v>
      </c>
      <c r="C101" s="506" t="s">
        <v>273</v>
      </c>
      <c r="D101" s="275" t="s">
        <v>509</v>
      </c>
      <c r="E101" s="491">
        <f>'d3'!E101-'d3 до МВК'!E101</f>
        <v>0</v>
      </c>
      <c r="F101" s="491">
        <f>'d3'!F101-'d3 до МВК'!F101</f>
        <v>0</v>
      </c>
      <c r="G101" s="491">
        <f>'d3'!G101-'d3 до МВК'!G101</f>
        <v>0</v>
      </c>
      <c r="H101" s="491">
        <f>'d3'!H101-'d3 до МВК'!H101</f>
        <v>0</v>
      </c>
      <c r="I101" s="491">
        <f>'d3'!I101-'d3 до МВК'!I101</f>
        <v>0</v>
      </c>
      <c r="J101" s="491">
        <f>'d3'!J101-'d3 до МВК'!J101</f>
        <v>0</v>
      </c>
      <c r="K101" s="491">
        <f>'d3'!K101-'d3 до МВК'!K101</f>
        <v>0</v>
      </c>
      <c r="L101" s="491">
        <f>'d3'!L101-'d3 до МВК'!L101</f>
        <v>0</v>
      </c>
      <c r="M101" s="491">
        <f>'d3'!M101-'d3 до МВК'!M101</f>
        <v>0</v>
      </c>
      <c r="N101" s="491">
        <f>'d3'!N101-'d3 до МВК'!N101</f>
        <v>0</v>
      </c>
      <c r="O101" s="491">
        <f>'d3'!O101-'d3 до МВК'!O101</f>
        <v>0</v>
      </c>
      <c r="P101" s="491">
        <f>'d3'!P101-'d3 до МВК'!P101</f>
        <v>0</v>
      </c>
    </row>
    <row r="102" spans="1:16" ht="327.75" customHeight="1" x14ac:dyDescent="0.2">
      <c r="A102" s="492"/>
      <c r="B102" s="492"/>
      <c r="C102" s="503"/>
      <c r="D102" s="277" t="s">
        <v>778</v>
      </c>
      <c r="E102" s="589"/>
      <c r="F102" s="589">
        <f>'d3'!F102-'d3 до МВК'!F102</f>
        <v>0</v>
      </c>
      <c r="G102" s="589">
        <f>'d3'!G102-'d3 до МВК'!G102</f>
        <v>0</v>
      </c>
      <c r="H102" s="589">
        <f>'d3'!H102-'d3 до МВК'!H102</f>
        <v>0</v>
      </c>
      <c r="I102" s="589">
        <f>'d3'!I102-'d3 до МВК'!I102</f>
        <v>0</v>
      </c>
      <c r="J102" s="589">
        <f>'d3'!J102-'d3 до МВК'!J102</f>
        <v>0</v>
      </c>
      <c r="K102" s="589">
        <f>'d3'!K102-'d3 до МВК'!K102</f>
        <v>0</v>
      </c>
      <c r="L102" s="589">
        <f>'d3'!L102-'d3 до МВК'!L102</f>
        <v>0</v>
      </c>
      <c r="M102" s="589">
        <f>'d3'!M102-'d3 до МВК'!M102</f>
        <v>0</v>
      </c>
      <c r="N102" s="589">
        <f>'d3'!N102-'d3 до МВК'!N102</f>
        <v>0</v>
      </c>
      <c r="O102" s="589">
        <f>'d3'!O102-'d3 до МВК'!O102</f>
        <v>0</v>
      </c>
      <c r="P102" s="589">
        <f>'d3'!P102-'d3 до МВК'!P102</f>
        <v>0</v>
      </c>
    </row>
    <row r="103" spans="1:16" ht="91.5" x14ac:dyDescent="0.2">
      <c r="A103" s="477"/>
      <c r="B103" s="477"/>
      <c r="C103" s="503"/>
      <c r="D103" s="274" t="s">
        <v>779</v>
      </c>
      <c r="E103" s="469"/>
      <c r="F103" s="469">
        <f>'d3'!F103-'d3 до МВК'!F103</f>
        <v>0</v>
      </c>
      <c r="G103" s="469">
        <f>'d3'!G103-'d3 до МВК'!G103</f>
        <v>0</v>
      </c>
      <c r="H103" s="469">
        <f>'d3'!H103-'d3 до МВК'!H103</f>
        <v>0</v>
      </c>
      <c r="I103" s="469">
        <f>'d3'!I103-'d3 до МВК'!I103</f>
        <v>0</v>
      </c>
      <c r="J103" s="469">
        <f>'d3'!J103-'d3 до МВК'!J103</f>
        <v>0</v>
      </c>
      <c r="K103" s="469">
        <f>'d3'!K103-'d3 до МВК'!K103</f>
        <v>0</v>
      </c>
      <c r="L103" s="469">
        <f>'d3'!L103-'d3 до МВК'!L103</f>
        <v>0</v>
      </c>
      <c r="M103" s="469">
        <f>'d3'!M103-'d3 до МВК'!M103</f>
        <v>0</v>
      </c>
      <c r="N103" s="469">
        <f>'d3'!N103-'d3 до МВК'!N103</f>
        <v>0</v>
      </c>
      <c r="O103" s="469">
        <f>'d3'!O103-'d3 до МВК'!O103</f>
        <v>0</v>
      </c>
      <c r="P103" s="469">
        <f>'d3'!P103-'d3 до МВК'!P103</f>
        <v>0</v>
      </c>
    </row>
    <row r="104" spans="1:16" ht="183" x14ac:dyDescent="0.2">
      <c r="A104" s="454" t="s">
        <v>510</v>
      </c>
      <c r="B104" s="454" t="s">
        <v>512</v>
      </c>
      <c r="C104" s="454" t="s">
        <v>281</v>
      </c>
      <c r="D104" s="269" t="s">
        <v>514</v>
      </c>
      <c r="E104" s="311">
        <f>'d3'!E104-'d3 до МВК'!E104</f>
        <v>0</v>
      </c>
      <c r="F104" s="311">
        <f>'d3'!F104-'d3 до МВК'!F104</f>
        <v>0</v>
      </c>
      <c r="G104" s="311">
        <f>'d3'!G104-'d3 до МВК'!G104</f>
        <v>0</v>
      </c>
      <c r="H104" s="311">
        <f>'d3'!H104-'d3 до МВК'!H104</f>
        <v>0</v>
      </c>
      <c r="I104" s="311">
        <f>'d3'!I104-'d3 до МВК'!I104</f>
        <v>0</v>
      </c>
      <c r="J104" s="311">
        <f>'d3'!J104-'d3 до МВК'!J104</f>
        <v>0</v>
      </c>
      <c r="K104" s="311">
        <f>'d3'!K104-'d3 до МВК'!K104</f>
        <v>0</v>
      </c>
      <c r="L104" s="311">
        <f>'d3'!L104-'d3 до МВК'!L104</f>
        <v>0</v>
      </c>
      <c r="M104" s="311">
        <f>'d3'!M104-'d3 до МВК'!M104</f>
        <v>0</v>
      </c>
      <c r="N104" s="311">
        <f>'d3'!N104-'d3 до МВК'!N104</f>
        <v>0</v>
      </c>
      <c r="O104" s="311">
        <f>'d3'!O104-'d3 до МВК'!O104</f>
        <v>0</v>
      </c>
      <c r="P104" s="311">
        <f>'d3'!P104-'d3 до МВК'!P104</f>
        <v>0</v>
      </c>
    </row>
    <row r="105" spans="1:16" ht="137.25" x14ac:dyDescent="0.2">
      <c r="A105" s="454" t="s">
        <v>511</v>
      </c>
      <c r="B105" s="454" t="s">
        <v>513</v>
      </c>
      <c r="C105" s="454" t="s">
        <v>281</v>
      </c>
      <c r="D105" s="269" t="s">
        <v>515</v>
      </c>
      <c r="E105" s="311">
        <f>'d3'!E105-'d3 до МВК'!E105</f>
        <v>0</v>
      </c>
      <c r="F105" s="311">
        <f>'d3'!F105-'d3 до МВК'!F105</f>
        <v>0</v>
      </c>
      <c r="G105" s="311">
        <f>'d3'!G105-'d3 до МВК'!G105</f>
        <v>0</v>
      </c>
      <c r="H105" s="311">
        <f>'d3'!H105-'d3 до МВК'!H105</f>
        <v>0</v>
      </c>
      <c r="I105" s="311">
        <f>'d3'!I105-'d3 до МВК'!I105</f>
        <v>0</v>
      </c>
      <c r="J105" s="311">
        <f>'d3'!J105-'d3 до МВК'!J105</f>
        <v>0</v>
      </c>
      <c r="K105" s="311">
        <f>'d3'!K105-'d3 до МВК'!K105</f>
        <v>0</v>
      </c>
      <c r="L105" s="311">
        <f>'d3'!L105-'d3 до МВК'!L105</f>
        <v>0</v>
      </c>
      <c r="M105" s="311">
        <f>'d3'!M105-'d3 до МВК'!M105</f>
        <v>0</v>
      </c>
      <c r="N105" s="311">
        <f>'d3'!N105-'d3 до МВК'!N105</f>
        <v>0</v>
      </c>
      <c r="O105" s="311">
        <f>'d3'!O105-'d3 до МВК'!O105</f>
        <v>0</v>
      </c>
      <c r="P105" s="311">
        <f>'d3'!P105-'d3 до МВК'!P105</f>
        <v>0</v>
      </c>
    </row>
    <row r="106" spans="1:16" ht="183" customHeight="1" x14ac:dyDescent="0.2">
      <c r="A106" s="454" t="s">
        <v>593</v>
      </c>
      <c r="B106" s="454" t="s">
        <v>591</v>
      </c>
      <c r="C106" s="454" t="s">
        <v>529</v>
      </c>
      <c r="D106" s="269" t="s">
        <v>592</v>
      </c>
      <c r="E106" s="311">
        <f>'d3'!E106-'d3 до МВК'!E106</f>
        <v>0</v>
      </c>
      <c r="F106" s="311">
        <f>'d3'!F106-'d3 до МВК'!F106</f>
        <v>0</v>
      </c>
      <c r="G106" s="311">
        <f>'d3'!G106-'d3 до МВК'!G106</f>
        <v>0</v>
      </c>
      <c r="H106" s="311">
        <f>'d3'!H106-'d3 до МВК'!H106</f>
        <v>0</v>
      </c>
      <c r="I106" s="311">
        <f>'d3'!I106-'d3 до МВК'!I106</f>
        <v>0</v>
      </c>
      <c r="J106" s="311">
        <f>'d3'!J106-'d3 до МВК'!J106</f>
        <v>0</v>
      </c>
      <c r="K106" s="311">
        <f>'d3'!K106-'d3 до МВК'!K106</f>
        <v>0</v>
      </c>
      <c r="L106" s="311">
        <f>'d3'!L106-'d3 до МВК'!L106</f>
        <v>0</v>
      </c>
      <c r="M106" s="311">
        <f>'d3'!M106-'d3 до МВК'!M106</f>
        <v>0</v>
      </c>
      <c r="N106" s="311">
        <f>'d3'!N106-'d3 до МВК'!N106</f>
        <v>0</v>
      </c>
      <c r="O106" s="311">
        <f>'d3'!O106-'d3 до МВК'!O106</f>
        <v>0</v>
      </c>
      <c r="P106" s="311">
        <f>'d3'!P106-'d3 до МВК'!P106</f>
        <v>0</v>
      </c>
    </row>
    <row r="107" spans="1:16" ht="409.5" x14ac:dyDescent="0.2">
      <c r="A107" s="454" t="s">
        <v>960</v>
      </c>
      <c r="B107" s="454" t="s">
        <v>961</v>
      </c>
      <c r="C107" s="454" t="s">
        <v>529</v>
      </c>
      <c r="D107" s="269" t="s">
        <v>959</v>
      </c>
      <c r="E107" s="311">
        <f>'d3'!E107-'d3 до МВК'!E107</f>
        <v>0</v>
      </c>
      <c r="F107" s="311">
        <f>'d3'!F107-'d3 до МВК'!F107</f>
        <v>0</v>
      </c>
      <c r="G107" s="311">
        <f>'d3'!G107-'d3 до МВК'!G107</f>
        <v>0</v>
      </c>
      <c r="H107" s="311">
        <f>'d3'!H107-'d3 до МВК'!H107</f>
        <v>0</v>
      </c>
      <c r="I107" s="311">
        <f>'d3'!I107-'d3 до МВК'!I107</f>
        <v>0</v>
      </c>
      <c r="J107" s="311">
        <f>'d3'!J107-'d3 до МВК'!J107</f>
        <v>0</v>
      </c>
      <c r="K107" s="311">
        <f>'d3'!K107-'d3 до МВК'!K107</f>
        <v>0</v>
      </c>
      <c r="L107" s="311">
        <f>'d3'!L107-'d3 до МВК'!L107</f>
        <v>0</v>
      </c>
      <c r="M107" s="311">
        <f>'d3'!M107-'d3 до МВК'!M107</f>
        <v>0</v>
      </c>
      <c r="N107" s="311">
        <f>'d3'!N107-'d3 до МВК'!N107</f>
        <v>0</v>
      </c>
      <c r="O107" s="311">
        <f>'d3'!O107-'d3 до МВК'!O107</f>
        <v>0</v>
      </c>
      <c r="P107" s="311">
        <f>'d3'!P107-'d3 до МВК'!P107</f>
        <v>0</v>
      </c>
    </row>
    <row r="108" spans="1:16" ht="91.5" x14ac:dyDescent="0.2">
      <c r="A108" s="454" t="s">
        <v>686</v>
      </c>
      <c r="B108" s="454" t="s">
        <v>687</v>
      </c>
      <c r="C108" s="454" t="s">
        <v>444</v>
      </c>
      <c r="D108" s="269" t="s">
        <v>688</v>
      </c>
      <c r="E108" s="311">
        <f>'d3'!E108-'d3 до МВК'!E108</f>
        <v>0</v>
      </c>
      <c r="F108" s="311">
        <f>'d3'!F108-'d3 до МВК'!F108</f>
        <v>0</v>
      </c>
      <c r="G108" s="311">
        <f>'d3'!G108-'d3 до МВК'!G108</f>
        <v>0</v>
      </c>
      <c r="H108" s="311">
        <f>'d3'!H108-'d3 до МВК'!H108</f>
        <v>0</v>
      </c>
      <c r="I108" s="311">
        <f>'d3'!I108-'d3 до МВК'!I108</f>
        <v>0</v>
      </c>
      <c r="J108" s="311">
        <f>'d3'!J108-'d3 до МВК'!J108</f>
        <v>0</v>
      </c>
      <c r="K108" s="311">
        <f>'d3'!K108-'d3 до МВК'!K108</f>
        <v>0</v>
      </c>
      <c r="L108" s="311">
        <f>'d3'!L108-'d3 до МВК'!L108</f>
        <v>0</v>
      </c>
      <c r="M108" s="311">
        <f>'d3'!M108-'d3 до МВК'!M108</f>
        <v>0</v>
      </c>
      <c r="N108" s="311">
        <f>'d3'!N108-'d3 до МВК'!N108</f>
        <v>0</v>
      </c>
      <c r="O108" s="311">
        <f>'d3'!O108-'d3 до МВК'!O108</f>
        <v>0</v>
      </c>
      <c r="P108" s="311">
        <f>'d3'!P108-'d3 до МВК'!P108</f>
        <v>0</v>
      </c>
    </row>
    <row r="109" spans="1:16" ht="409.5" x14ac:dyDescent="0.2">
      <c r="A109" s="476" t="s">
        <v>723</v>
      </c>
      <c r="B109" s="476" t="s">
        <v>525</v>
      </c>
      <c r="C109" s="476" t="s">
        <v>250</v>
      </c>
      <c r="D109" s="267" t="s">
        <v>536</v>
      </c>
      <c r="E109" s="491">
        <f>'d3'!E109-'d3 до МВК'!E109</f>
        <v>0</v>
      </c>
      <c r="F109" s="491">
        <f>'d3'!F109-'d3 до МВК'!F109</f>
        <v>0</v>
      </c>
      <c r="G109" s="491">
        <f>'d3'!G109-'d3 до МВК'!G109</f>
        <v>0</v>
      </c>
      <c r="H109" s="491">
        <f>'d3'!H109-'d3 до МВК'!H109</f>
        <v>0</v>
      </c>
      <c r="I109" s="491">
        <f>'d3'!I109-'d3 до МВК'!I109</f>
        <v>0</v>
      </c>
      <c r="J109" s="491">
        <f>'d3'!J109-'d3 до МВК'!J109</f>
        <v>0</v>
      </c>
      <c r="K109" s="491">
        <f>'d3'!K109-'d3 до МВК'!K109</f>
        <v>0</v>
      </c>
      <c r="L109" s="491">
        <f>'d3'!L109-'d3 до МВК'!L109</f>
        <v>0</v>
      </c>
      <c r="M109" s="491">
        <f>'d3'!M109-'d3 до МВК'!M109</f>
        <v>0</v>
      </c>
      <c r="N109" s="491">
        <f>'d3'!N109-'d3 до МВК'!N109</f>
        <v>0</v>
      </c>
      <c r="O109" s="491">
        <f>'d3'!O109-'d3 до МВК'!O109</f>
        <v>0</v>
      </c>
      <c r="P109" s="491">
        <f>'d3'!P109-'d3 до МВК'!P109</f>
        <v>0</v>
      </c>
    </row>
    <row r="110" spans="1:16" ht="137.25" x14ac:dyDescent="0.2">
      <c r="A110" s="477"/>
      <c r="B110" s="477"/>
      <c r="C110" s="477"/>
      <c r="D110" s="268" t="s">
        <v>537</v>
      </c>
      <c r="E110" s="469"/>
      <c r="F110" s="469"/>
      <c r="G110" s="469"/>
      <c r="H110" s="469"/>
      <c r="I110" s="469"/>
      <c r="J110" s="469"/>
      <c r="K110" s="469"/>
      <c r="L110" s="469"/>
      <c r="M110" s="469"/>
      <c r="N110" s="469"/>
      <c r="O110" s="469"/>
      <c r="P110" s="469"/>
    </row>
    <row r="111" spans="1:16" ht="180" x14ac:dyDescent="0.2">
      <c r="A111" s="327">
        <v>1000000</v>
      </c>
      <c r="B111" s="327"/>
      <c r="C111" s="327"/>
      <c r="D111" s="328" t="s">
        <v>43</v>
      </c>
      <c r="E111" s="329">
        <f>E112</f>
        <v>0</v>
      </c>
      <c r="F111" s="329">
        <f t="shared" ref="F111:G111" si="21">F112</f>
        <v>0</v>
      </c>
      <c r="G111" s="329">
        <f t="shared" si="21"/>
        <v>0</v>
      </c>
      <c r="H111" s="329">
        <f>H112</f>
        <v>0</v>
      </c>
      <c r="I111" s="329">
        <f t="shared" ref="I111" si="22">I112</f>
        <v>0</v>
      </c>
      <c r="J111" s="329">
        <f>J112</f>
        <v>0</v>
      </c>
      <c r="K111" s="329">
        <f>K112</f>
        <v>0</v>
      </c>
      <c r="L111" s="329">
        <f>L112</f>
        <v>0</v>
      </c>
      <c r="M111" s="329">
        <f t="shared" ref="M111" si="23">M112</f>
        <v>0</v>
      </c>
      <c r="N111" s="329">
        <f>N112</f>
        <v>0</v>
      </c>
      <c r="O111" s="329">
        <f>O112</f>
        <v>0</v>
      </c>
      <c r="P111" s="329">
        <f t="shared" ref="P111" si="24">P112</f>
        <v>0</v>
      </c>
    </row>
    <row r="112" spans="1:16" ht="180" x14ac:dyDescent="0.2">
      <c r="A112" s="324">
        <v>1010000</v>
      </c>
      <c r="B112" s="324"/>
      <c r="C112" s="324"/>
      <c r="D112" s="325" t="s">
        <v>62</v>
      </c>
      <c r="E112" s="326">
        <f>F112</f>
        <v>0</v>
      </c>
      <c r="F112" s="326">
        <f>SUM(F113:F120)</f>
        <v>0</v>
      </c>
      <c r="G112" s="326">
        <f t="shared" ref="G112:I112" si="25">SUM(G113:G120)</f>
        <v>0</v>
      </c>
      <c r="H112" s="326">
        <f t="shared" si="25"/>
        <v>0</v>
      </c>
      <c r="I112" s="326">
        <f t="shared" si="25"/>
        <v>0</v>
      </c>
      <c r="J112" s="326">
        <f t="shared" ref="J112" si="26">L112+O112</f>
        <v>0</v>
      </c>
      <c r="K112" s="326">
        <f t="shared" ref="K112:O112" si="27">SUM(K113:K120)</f>
        <v>0</v>
      </c>
      <c r="L112" s="326">
        <f t="shared" si="27"/>
        <v>0</v>
      </c>
      <c r="M112" s="326">
        <f t="shared" si="27"/>
        <v>0</v>
      </c>
      <c r="N112" s="326">
        <f t="shared" si="27"/>
        <v>0</v>
      </c>
      <c r="O112" s="326">
        <f t="shared" si="27"/>
        <v>0</v>
      </c>
      <c r="P112" s="326">
        <f t="shared" ref="P112" si="28">E112+J112</f>
        <v>0</v>
      </c>
    </row>
    <row r="113" spans="1:16" ht="274.5" x14ac:dyDescent="0.2">
      <c r="A113" s="454" t="s">
        <v>34</v>
      </c>
      <c r="B113" s="454" t="s">
        <v>268</v>
      </c>
      <c r="C113" s="454" t="s">
        <v>269</v>
      </c>
      <c r="D113" s="454" t="s">
        <v>267</v>
      </c>
      <c r="E113" s="311">
        <f>'d3'!E113-'d3 до МВК'!E113</f>
        <v>0</v>
      </c>
      <c r="F113" s="311">
        <f>'d3'!F113-'d3 до МВК'!F113</f>
        <v>0</v>
      </c>
      <c r="G113" s="311">
        <f>'d3'!G113-'d3 до МВК'!G113</f>
        <v>0</v>
      </c>
      <c r="H113" s="311">
        <f>'d3'!H113-'d3 до МВК'!H113</f>
        <v>0</v>
      </c>
      <c r="I113" s="311">
        <f>'d3'!I113-'d3 до МВК'!I113</f>
        <v>0</v>
      </c>
      <c r="J113" s="311">
        <f>'d3'!J113-'d3 до МВК'!J113</f>
        <v>0</v>
      </c>
      <c r="K113" s="311">
        <f>'d3'!K113-'d3 до МВК'!K113</f>
        <v>0</v>
      </c>
      <c r="L113" s="311">
        <f>'d3'!L113-'d3 до МВК'!L113</f>
        <v>0</v>
      </c>
      <c r="M113" s="311">
        <f>'d3'!M113-'d3 до МВК'!M113</f>
        <v>0</v>
      </c>
      <c r="N113" s="311">
        <f>'d3'!N113-'d3 до МВК'!N113</f>
        <v>0</v>
      </c>
      <c r="O113" s="311">
        <f>'d3'!O113-'d3 до МВК'!O113</f>
        <v>0</v>
      </c>
      <c r="P113" s="311">
        <f>'d3'!P113-'d3 до МВК'!P113</f>
        <v>0</v>
      </c>
    </row>
    <row r="114" spans="1:16" ht="46.5" x14ac:dyDescent="0.2">
      <c r="A114" s="454" t="s">
        <v>251</v>
      </c>
      <c r="B114" s="454" t="s">
        <v>252</v>
      </c>
      <c r="C114" s="454" t="s">
        <v>255</v>
      </c>
      <c r="D114" s="454" t="s">
        <v>256</v>
      </c>
      <c r="E114" s="311">
        <f>'d3'!E114-'d3 до МВК'!E114</f>
        <v>0</v>
      </c>
      <c r="F114" s="311">
        <f>'d3'!F114-'d3 до МВК'!F114</f>
        <v>0</v>
      </c>
      <c r="G114" s="311">
        <f>'d3'!G114-'d3 до МВК'!G114</f>
        <v>0</v>
      </c>
      <c r="H114" s="311">
        <f>'d3'!H114-'d3 до МВК'!H114</f>
        <v>0</v>
      </c>
      <c r="I114" s="311">
        <f>'d3'!I114-'d3 до МВК'!I114</f>
        <v>0</v>
      </c>
      <c r="J114" s="311">
        <f>'d3'!J114-'d3 до МВК'!J114</f>
        <v>0</v>
      </c>
      <c r="K114" s="311">
        <f>'d3'!K114-'d3 до МВК'!K114</f>
        <v>0</v>
      </c>
      <c r="L114" s="311">
        <f>'d3'!L114-'d3 до МВК'!L114</f>
        <v>0</v>
      </c>
      <c r="M114" s="311">
        <f>'d3'!M114-'d3 до МВК'!M114</f>
        <v>0</v>
      </c>
      <c r="N114" s="311">
        <f>'d3'!N114-'d3 до МВК'!N114</f>
        <v>0</v>
      </c>
      <c r="O114" s="311">
        <f>'d3'!O114-'d3 до МВК'!O114</f>
        <v>0</v>
      </c>
      <c r="P114" s="311">
        <f>'d3'!P114-'d3 до МВК'!P114</f>
        <v>0</v>
      </c>
    </row>
    <row r="115" spans="1:16" ht="91.5" x14ac:dyDescent="0.2">
      <c r="A115" s="454" t="s">
        <v>257</v>
      </c>
      <c r="B115" s="454" t="s">
        <v>258</v>
      </c>
      <c r="C115" s="454" t="s">
        <v>259</v>
      </c>
      <c r="D115" s="454" t="s">
        <v>260</v>
      </c>
      <c r="E115" s="311">
        <f>'d3'!E115-'d3 до МВК'!E115</f>
        <v>0</v>
      </c>
      <c r="F115" s="311">
        <f>'d3'!F115-'d3 до МВК'!F115</f>
        <v>0</v>
      </c>
      <c r="G115" s="311">
        <f>'d3'!G115-'d3 до МВК'!G115</f>
        <v>0</v>
      </c>
      <c r="H115" s="311">
        <f>'d3'!H115-'d3 до МВК'!H115</f>
        <v>0</v>
      </c>
      <c r="I115" s="311">
        <f>'d3'!I115-'d3 до МВК'!I115</f>
        <v>0</v>
      </c>
      <c r="J115" s="311">
        <f>'d3'!J115-'d3 до МВК'!J115</f>
        <v>0</v>
      </c>
      <c r="K115" s="311">
        <f>'d3'!K115-'d3 до МВК'!K115</f>
        <v>0</v>
      </c>
      <c r="L115" s="311">
        <f>'d3'!L115-'d3 до МВК'!L115</f>
        <v>0</v>
      </c>
      <c r="M115" s="311">
        <f>'d3'!M115-'d3 до МВК'!M115</f>
        <v>0</v>
      </c>
      <c r="N115" s="311">
        <f>'d3'!N115-'d3 до МВК'!N115</f>
        <v>0</v>
      </c>
      <c r="O115" s="311">
        <f>'d3'!O115-'d3 до МВК'!O115</f>
        <v>0</v>
      </c>
      <c r="P115" s="311">
        <f>'d3'!P115-'d3 до МВК'!P115</f>
        <v>0</v>
      </c>
    </row>
    <row r="116" spans="1:16" ht="91.5" x14ac:dyDescent="0.2">
      <c r="A116" s="454" t="s">
        <v>261</v>
      </c>
      <c r="B116" s="454" t="s">
        <v>262</v>
      </c>
      <c r="C116" s="454" t="s">
        <v>259</v>
      </c>
      <c r="D116" s="454" t="s">
        <v>263</v>
      </c>
      <c r="E116" s="311">
        <f>'d3'!E116-'d3 до МВК'!E116</f>
        <v>0</v>
      </c>
      <c r="F116" s="311">
        <f>'d3'!F116-'d3 до МВК'!F116</f>
        <v>0</v>
      </c>
      <c r="G116" s="311">
        <f>'d3'!G116-'d3 до МВК'!G116</f>
        <v>0</v>
      </c>
      <c r="H116" s="311">
        <f>'d3'!H116-'d3 до МВК'!H116</f>
        <v>0</v>
      </c>
      <c r="I116" s="311">
        <f>'d3'!I116-'d3 до МВК'!I116</f>
        <v>0</v>
      </c>
      <c r="J116" s="311">
        <f>'d3'!J116-'d3 до МВК'!J116</f>
        <v>0</v>
      </c>
      <c r="K116" s="311">
        <f>'d3'!K116-'d3 до МВК'!K116</f>
        <v>0</v>
      </c>
      <c r="L116" s="311">
        <f>'d3'!L116-'d3 до МВК'!L116</f>
        <v>0</v>
      </c>
      <c r="M116" s="311">
        <f>'d3'!M116-'d3 до МВК'!M116</f>
        <v>0</v>
      </c>
      <c r="N116" s="311">
        <f>'d3'!N116-'d3 до МВК'!N116</f>
        <v>0</v>
      </c>
      <c r="O116" s="311">
        <f>'d3'!O116-'d3 до МВК'!O116</f>
        <v>0</v>
      </c>
      <c r="P116" s="311">
        <f>'d3'!P116-'d3 до МВК'!P116</f>
        <v>0</v>
      </c>
    </row>
    <row r="117" spans="1:16" ht="183" x14ac:dyDescent="0.2">
      <c r="A117" s="454" t="s">
        <v>264</v>
      </c>
      <c r="B117" s="454" t="s">
        <v>253</v>
      </c>
      <c r="C117" s="454" t="s">
        <v>265</v>
      </c>
      <c r="D117" s="454" t="s">
        <v>266</v>
      </c>
      <c r="E117" s="311">
        <f>'d3'!E117-'d3 до МВК'!E117</f>
        <v>0</v>
      </c>
      <c r="F117" s="311">
        <f>'d3'!F117-'d3 до МВК'!F117</f>
        <v>0</v>
      </c>
      <c r="G117" s="311">
        <f>'d3'!G117-'d3 до МВК'!G117</f>
        <v>0</v>
      </c>
      <c r="H117" s="311">
        <f>'d3'!H117-'d3 до МВК'!H117</f>
        <v>0</v>
      </c>
      <c r="I117" s="311">
        <f>'d3'!I117-'d3 до МВК'!I117</f>
        <v>0</v>
      </c>
      <c r="J117" s="311">
        <f>'d3'!J117-'d3 до МВК'!J117</f>
        <v>0</v>
      </c>
      <c r="K117" s="311">
        <f>'d3'!K117-'d3 до МВК'!K117</f>
        <v>0</v>
      </c>
      <c r="L117" s="311">
        <f>'d3'!L117-'d3 до МВК'!L117</f>
        <v>0</v>
      </c>
      <c r="M117" s="311">
        <f>'d3'!M117-'d3 до МВК'!M117</f>
        <v>0</v>
      </c>
      <c r="N117" s="311">
        <f>'d3'!N117-'d3 до МВК'!N117</f>
        <v>0</v>
      </c>
      <c r="O117" s="311">
        <f>'d3'!O117-'d3 до МВК'!O117</f>
        <v>0</v>
      </c>
      <c r="P117" s="311">
        <f>'d3'!P117-'d3 до МВК'!P117</f>
        <v>0</v>
      </c>
    </row>
    <row r="118" spans="1:16" ht="137.25" x14ac:dyDescent="0.2">
      <c r="A118" s="454" t="s">
        <v>517</v>
      </c>
      <c r="B118" s="454" t="s">
        <v>518</v>
      </c>
      <c r="C118" s="454" t="s">
        <v>270</v>
      </c>
      <c r="D118" s="454" t="s">
        <v>516</v>
      </c>
      <c r="E118" s="311">
        <f>'d3'!E118-'d3 до МВК'!E118</f>
        <v>0</v>
      </c>
      <c r="F118" s="311">
        <f>'d3'!F118-'d3 до МВК'!F118</f>
        <v>0</v>
      </c>
      <c r="G118" s="311">
        <f>'d3'!G118-'d3 до МВК'!G118</f>
        <v>0</v>
      </c>
      <c r="H118" s="311">
        <f>'d3'!H118-'d3 до МВК'!H118</f>
        <v>0</v>
      </c>
      <c r="I118" s="311">
        <f>'d3'!I118-'d3 до МВК'!I118</f>
        <v>0</v>
      </c>
      <c r="J118" s="311">
        <f>'d3'!J118-'d3 до МВК'!J118</f>
        <v>0</v>
      </c>
      <c r="K118" s="311">
        <f>'d3'!K118-'d3 до МВК'!K118</f>
        <v>0</v>
      </c>
      <c r="L118" s="311">
        <f>'d3'!L118-'d3 до МВК'!L118</f>
        <v>0</v>
      </c>
      <c r="M118" s="311">
        <f>'d3'!M118-'d3 до МВК'!M118</f>
        <v>0</v>
      </c>
      <c r="N118" s="311">
        <f>'d3'!N118-'d3 до МВК'!N118</f>
        <v>0</v>
      </c>
      <c r="O118" s="311">
        <f>'d3'!O118-'d3 до МВК'!O118</f>
        <v>0</v>
      </c>
      <c r="P118" s="311">
        <f>'d3'!P118-'d3 до МВК'!P118</f>
        <v>0</v>
      </c>
    </row>
    <row r="119" spans="1:16" ht="91.5" x14ac:dyDescent="0.2">
      <c r="A119" s="454" t="s">
        <v>519</v>
      </c>
      <c r="B119" s="454" t="s">
        <v>520</v>
      </c>
      <c r="C119" s="454" t="s">
        <v>270</v>
      </c>
      <c r="D119" s="454" t="s">
        <v>521</v>
      </c>
      <c r="E119" s="311">
        <f>'d3'!E119-'d3 до МВК'!E119</f>
        <v>0</v>
      </c>
      <c r="F119" s="311">
        <f>'d3'!F119-'d3 до МВК'!F119</f>
        <v>0</v>
      </c>
      <c r="G119" s="311">
        <f>'d3'!G119-'d3 до МВК'!G119</f>
        <v>0</v>
      </c>
      <c r="H119" s="311">
        <f>'d3'!H119-'d3 до МВК'!H119</f>
        <v>0</v>
      </c>
      <c r="I119" s="311">
        <f>'d3'!I119-'d3 до МВК'!I119</f>
        <v>0</v>
      </c>
      <c r="J119" s="311">
        <f>'d3'!J119-'d3 до МВК'!J119</f>
        <v>0</v>
      </c>
      <c r="K119" s="311">
        <f>'d3'!K119-'d3 до МВК'!K119</f>
        <v>0</v>
      </c>
      <c r="L119" s="311">
        <f>'d3'!L119-'d3 до МВК'!L119</f>
        <v>0</v>
      </c>
      <c r="M119" s="311">
        <f>'d3'!M119-'d3 до МВК'!M119</f>
        <v>0</v>
      </c>
      <c r="N119" s="311">
        <f>'d3'!N119-'d3 до МВК'!N119</f>
        <v>0</v>
      </c>
      <c r="O119" s="311">
        <f>'d3'!O119-'d3 до МВК'!O119</f>
        <v>0</v>
      </c>
      <c r="P119" s="311">
        <f>'d3'!P119-'d3 до МВК'!P119</f>
        <v>0</v>
      </c>
    </row>
    <row r="120" spans="1:16" ht="91.5" x14ac:dyDescent="0.2">
      <c r="A120" s="454" t="s">
        <v>828</v>
      </c>
      <c r="B120" s="454" t="s">
        <v>287</v>
      </c>
      <c r="C120" s="454" t="s">
        <v>250</v>
      </c>
      <c r="D120" s="454" t="s">
        <v>57</v>
      </c>
      <c r="E120" s="311">
        <f>'d3'!E120-'d3 до МВК'!E120</f>
        <v>0</v>
      </c>
      <c r="F120" s="311">
        <f>'d3'!F120-'d3 до МВК'!F120</f>
        <v>0</v>
      </c>
      <c r="G120" s="311">
        <f>'d3'!G120-'d3 до МВК'!G120</f>
        <v>0</v>
      </c>
      <c r="H120" s="311">
        <f>'d3'!H120-'d3 до МВК'!H120</f>
        <v>0</v>
      </c>
      <c r="I120" s="311">
        <f>'d3'!I120-'d3 до МВК'!I120</f>
        <v>0</v>
      </c>
      <c r="J120" s="311">
        <f>'d3'!J120-'d3 до МВК'!J120</f>
        <v>0</v>
      </c>
      <c r="K120" s="311">
        <f>'d3'!K120-'d3 до МВК'!K120</f>
        <v>0</v>
      </c>
      <c r="L120" s="311">
        <f>'d3'!L120-'d3 до МВК'!L120</f>
        <v>0</v>
      </c>
      <c r="M120" s="311">
        <f>'d3'!M120-'d3 до МВК'!M120</f>
        <v>0</v>
      </c>
      <c r="N120" s="311">
        <f>'d3'!N120-'d3 до МВК'!N120</f>
        <v>0</v>
      </c>
      <c r="O120" s="311">
        <f>'d3'!O120-'d3 до МВК'!O120</f>
        <v>0</v>
      </c>
      <c r="P120" s="311">
        <f>'d3'!P120-'d3 до МВК'!P120</f>
        <v>0</v>
      </c>
    </row>
    <row r="121" spans="1:16" ht="135" x14ac:dyDescent="0.2">
      <c r="A121" s="327" t="s">
        <v>40</v>
      </c>
      <c r="B121" s="327"/>
      <c r="C121" s="327"/>
      <c r="D121" s="328" t="s">
        <v>41</v>
      </c>
      <c r="E121" s="329">
        <f>E122</f>
        <v>0</v>
      </c>
      <c r="F121" s="329">
        <f t="shared" ref="F121:G121" si="29">F122</f>
        <v>0</v>
      </c>
      <c r="G121" s="329">
        <f t="shared" si="29"/>
        <v>0</v>
      </c>
      <c r="H121" s="329">
        <f>H122</f>
        <v>0</v>
      </c>
      <c r="I121" s="329">
        <f t="shared" ref="I121" si="30">I122</f>
        <v>0</v>
      </c>
      <c r="J121" s="329">
        <f>J122</f>
        <v>0</v>
      </c>
      <c r="K121" s="329">
        <f>K122</f>
        <v>0</v>
      </c>
      <c r="L121" s="329">
        <f>L122</f>
        <v>0</v>
      </c>
      <c r="M121" s="329">
        <f t="shared" ref="M121" si="31">M122</f>
        <v>0</v>
      </c>
      <c r="N121" s="329">
        <f>N122</f>
        <v>0</v>
      </c>
      <c r="O121" s="329">
        <f>O122</f>
        <v>0</v>
      </c>
      <c r="P121" s="329">
        <f t="shared" ref="P121" si="32">P122</f>
        <v>0</v>
      </c>
    </row>
    <row r="122" spans="1:16" ht="135" x14ac:dyDescent="0.2">
      <c r="A122" s="324" t="s">
        <v>39</v>
      </c>
      <c r="B122" s="324"/>
      <c r="C122" s="324"/>
      <c r="D122" s="325" t="s">
        <v>58</v>
      </c>
      <c r="E122" s="326">
        <f>SUM(E123:E136)</f>
        <v>0</v>
      </c>
      <c r="F122" s="326">
        <f>SUM(F123:F136)</f>
        <v>0</v>
      </c>
      <c r="G122" s="326">
        <f>SUM(G123:G136)</f>
        <v>0</v>
      </c>
      <c r="H122" s="326">
        <f>SUM(H123:H136)</f>
        <v>0</v>
      </c>
      <c r="I122" s="326">
        <f>SUM(I123:I136)</f>
        <v>0</v>
      </c>
      <c r="J122" s="326">
        <f t="shared" ref="J122" si="33">L122+O122</f>
        <v>0</v>
      </c>
      <c r="K122" s="326">
        <f>SUM(K123:K136)</f>
        <v>0</v>
      </c>
      <c r="L122" s="326">
        <f>SUM(L123:L136)</f>
        <v>0</v>
      </c>
      <c r="M122" s="326">
        <f>SUM(M123:M136)</f>
        <v>0</v>
      </c>
      <c r="N122" s="326">
        <f>SUM(N123:N136)</f>
        <v>0</v>
      </c>
      <c r="O122" s="326">
        <f>SUM(O123:O136)</f>
        <v>0</v>
      </c>
      <c r="P122" s="326">
        <f>E122+J122</f>
        <v>0</v>
      </c>
    </row>
    <row r="123" spans="1:16" ht="137.25" x14ac:dyDescent="0.2">
      <c r="A123" s="454" t="s">
        <v>271</v>
      </c>
      <c r="B123" s="454" t="s">
        <v>272</v>
      </c>
      <c r="C123" s="454" t="s">
        <v>273</v>
      </c>
      <c r="D123" s="454" t="s">
        <v>274</v>
      </c>
      <c r="E123" s="311">
        <f>'d3'!E123-'d3 до МВК'!E123</f>
        <v>0</v>
      </c>
      <c r="F123" s="311">
        <f>'d3'!F123-'d3 до МВК'!F123</f>
        <v>0</v>
      </c>
      <c r="G123" s="311">
        <f>'d3'!G123-'d3 до МВК'!G123</f>
        <v>0</v>
      </c>
      <c r="H123" s="311">
        <f>'d3'!H123-'d3 до МВК'!H123</f>
        <v>0</v>
      </c>
      <c r="I123" s="311">
        <f>'d3'!I123-'d3 до МВК'!I123</f>
        <v>0</v>
      </c>
      <c r="J123" s="311">
        <f>'d3'!J123-'d3 до МВК'!J123</f>
        <v>0</v>
      </c>
      <c r="K123" s="311">
        <f>'d3'!K123-'d3 до МВК'!K123</f>
        <v>0</v>
      </c>
      <c r="L123" s="311">
        <f>'d3'!L123-'d3 до МВК'!L123</f>
        <v>0</v>
      </c>
      <c r="M123" s="311">
        <f>'d3'!M123-'d3 до МВК'!M123</f>
        <v>0</v>
      </c>
      <c r="N123" s="311">
        <f>'d3'!N123-'d3 до МВК'!N123</f>
        <v>0</v>
      </c>
      <c r="O123" s="311">
        <f>'d3'!O123-'d3 до МВК'!O123</f>
        <v>0</v>
      </c>
      <c r="P123" s="311">
        <f>'d3'!P123-'d3 до МВК'!P123</f>
        <v>0</v>
      </c>
    </row>
    <row r="124" spans="1:16" ht="228.75" x14ac:dyDescent="0.2">
      <c r="A124" s="454" t="s">
        <v>72</v>
      </c>
      <c r="B124" s="454" t="s">
        <v>254</v>
      </c>
      <c r="C124" s="454" t="s">
        <v>273</v>
      </c>
      <c r="D124" s="454" t="s">
        <v>22</v>
      </c>
      <c r="E124" s="311">
        <f>'d3'!E124-'d3 до МВК'!E124</f>
        <v>0</v>
      </c>
      <c r="F124" s="311">
        <f>'d3'!F124-'d3 до МВК'!F124</f>
        <v>0</v>
      </c>
      <c r="G124" s="311">
        <f>'d3'!G124-'d3 до МВК'!G124</f>
        <v>0</v>
      </c>
      <c r="H124" s="311">
        <f>'d3'!H124-'d3 до МВК'!H124</f>
        <v>0</v>
      </c>
      <c r="I124" s="311">
        <f>'d3'!I124-'d3 до МВК'!I124</f>
        <v>0</v>
      </c>
      <c r="J124" s="311">
        <f>'d3'!J124-'d3 до МВК'!J124</f>
        <v>0</v>
      </c>
      <c r="K124" s="311">
        <f>'d3'!K124-'d3 до МВК'!K124</f>
        <v>0</v>
      </c>
      <c r="L124" s="311">
        <f>'d3'!L124-'d3 до МВК'!L124</f>
        <v>0</v>
      </c>
      <c r="M124" s="311">
        <f>'d3'!M124-'d3 до МВК'!M124</f>
        <v>0</v>
      </c>
      <c r="N124" s="311">
        <f>'d3'!N124-'d3 до МВК'!N124</f>
        <v>0</v>
      </c>
      <c r="O124" s="311">
        <f>'d3'!O124-'d3 до МВК'!O124</f>
        <v>0</v>
      </c>
      <c r="P124" s="311">
        <f>'d3'!P124-'d3 до МВК'!P124</f>
        <v>0</v>
      </c>
    </row>
    <row r="125" spans="1:16" ht="91.5" x14ac:dyDescent="0.2">
      <c r="A125" s="454" t="s">
        <v>278</v>
      </c>
      <c r="B125" s="454" t="s">
        <v>279</v>
      </c>
      <c r="C125" s="454" t="s">
        <v>273</v>
      </c>
      <c r="D125" s="454" t="s">
        <v>23</v>
      </c>
      <c r="E125" s="311">
        <f>'d3'!E125-'d3 до МВК'!E125</f>
        <v>0</v>
      </c>
      <c r="F125" s="311">
        <f>'d3'!F125-'d3 до МВК'!F125</f>
        <v>0</v>
      </c>
      <c r="G125" s="311">
        <f>'d3'!G125-'d3 до МВК'!G125</f>
        <v>0</v>
      </c>
      <c r="H125" s="311">
        <f>'d3'!H125-'d3 до МВК'!H125</f>
        <v>0</v>
      </c>
      <c r="I125" s="311">
        <f>'d3'!I125-'d3 до МВК'!I125</f>
        <v>0</v>
      </c>
      <c r="J125" s="311">
        <f>'d3'!J125-'d3 до МВК'!J125</f>
        <v>0</v>
      </c>
      <c r="K125" s="311">
        <f>'d3'!K125-'d3 до МВК'!K125</f>
        <v>0</v>
      </c>
      <c r="L125" s="311">
        <f>'d3'!L125-'d3 до МВК'!L125</f>
        <v>0</v>
      </c>
      <c r="M125" s="311">
        <f>'d3'!M125-'d3 до МВК'!M125</f>
        <v>0</v>
      </c>
      <c r="N125" s="311">
        <f>'d3'!N125-'d3 до МВК'!N125</f>
        <v>0</v>
      </c>
      <c r="O125" s="311">
        <f>'d3'!O125-'d3 до МВК'!O125</f>
        <v>0</v>
      </c>
      <c r="P125" s="311">
        <f>'d3'!P125-'d3 до МВК'!P125</f>
        <v>0</v>
      </c>
    </row>
    <row r="126" spans="1:16" ht="91.5" x14ac:dyDescent="0.2">
      <c r="A126" s="454" t="s">
        <v>560</v>
      </c>
      <c r="B126" s="454" t="s">
        <v>561</v>
      </c>
      <c r="C126" s="454" t="s">
        <v>273</v>
      </c>
      <c r="D126" s="454" t="s">
        <v>562</v>
      </c>
      <c r="E126" s="311">
        <f>'d3'!E126-'d3 до МВК'!E126</f>
        <v>0</v>
      </c>
      <c r="F126" s="311">
        <f>'d3'!F126-'d3 до МВК'!F126</f>
        <v>0</v>
      </c>
      <c r="G126" s="311">
        <f>'d3'!G126-'d3 до МВК'!G126</f>
        <v>0</v>
      </c>
      <c r="H126" s="311">
        <f>'d3'!H126-'d3 до МВК'!H126</f>
        <v>0</v>
      </c>
      <c r="I126" s="311">
        <f>'d3'!I126-'d3 до МВК'!I126</f>
        <v>0</v>
      </c>
      <c r="J126" s="311">
        <f>'d3'!J126-'d3 до МВК'!J126</f>
        <v>0</v>
      </c>
      <c r="K126" s="311">
        <f>'d3'!K126-'d3 до МВК'!K126</f>
        <v>0</v>
      </c>
      <c r="L126" s="311">
        <f>'d3'!L126-'d3 до МВК'!L126</f>
        <v>0</v>
      </c>
      <c r="M126" s="311">
        <f>'d3'!M126-'d3 до МВК'!M126</f>
        <v>0</v>
      </c>
      <c r="N126" s="311">
        <f>'d3'!N126-'d3 до МВК'!N126</f>
        <v>0</v>
      </c>
      <c r="O126" s="311">
        <f>'d3'!O126-'d3 до МВК'!O126</f>
        <v>0</v>
      </c>
      <c r="P126" s="311">
        <f>'d3'!P126-'d3 до МВК'!P126</f>
        <v>0</v>
      </c>
    </row>
    <row r="127" spans="1:16" ht="137.25" x14ac:dyDescent="0.2">
      <c r="A127" s="454" t="s">
        <v>73</v>
      </c>
      <c r="B127" s="454" t="s">
        <v>275</v>
      </c>
      <c r="C127" s="454" t="s">
        <v>285</v>
      </c>
      <c r="D127" s="454" t="s">
        <v>74</v>
      </c>
      <c r="E127" s="311">
        <f>'d3'!E127-'d3 до МВК'!E127</f>
        <v>0</v>
      </c>
      <c r="F127" s="311">
        <f>'d3'!F127-'d3 до МВК'!F127</f>
        <v>0</v>
      </c>
      <c r="G127" s="311">
        <f>'d3'!G127-'d3 до МВК'!G127</f>
        <v>0</v>
      </c>
      <c r="H127" s="311">
        <f>'d3'!H127-'d3 до МВК'!H127</f>
        <v>0</v>
      </c>
      <c r="I127" s="311">
        <f>'d3'!I127-'d3 до МВК'!I127</f>
        <v>0</v>
      </c>
      <c r="J127" s="311">
        <f>'d3'!J127-'d3 до МВК'!J127</f>
        <v>0</v>
      </c>
      <c r="K127" s="311">
        <f>'d3'!K127-'d3 до МВК'!K127</f>
        <v>0</v>
      </c>
      <c r="L127" s="311">
        <f>'d3'!L127-'d3 до МВК'!L127</f>
        <v>0</v>
      </c>
      <c r="M127" s="311">
        <f>'d3'!M127-'d3 до МВК'!M127</f>
        <v>0</v>
      </c>
      <c r="N127" s="311">
        <f>'d3'!N127-'d3 до МВК'!N127</f>
        <v>0</v>
      </c>
      <c r="O127" s="311">
        <f>'d3'!O127-'d3 до МВК'!O127</f>
        <v>0</v>
      </c>
      <c r="P127" s="311">
        <f>'d3'!P127-'d3 до МВК'!P127</f>
        <v>0</v>
      </c>
    </row>
    <row r="128" spans="1:16" ht="137.25" x14ac:dyDescent="0.2">
      <c r="A128" s="454" t="s">
        <v>75</v>
      </c>
      <c r="B128" s="454" t="s">
        <v>276</v>
      </c>
      <c r="C128" s="454" t="s">
        <v>285</v>
      </c>
      <c r="D128" s="454" t="s">
        <v>6</v>
      </c>
      <c r="E128" s="311">
        <f>'d3'!E128-'d3 до МВК'!E128</f>
        <v>0</v>
      </c>
      <c r="F128" s="311">
        <f>'d3'!F128-'d3 до МВК'!F128</f>
        <v>0</v>
      </c>
      <c r="G128" s="311">
        <f>'d3'!G128-'d3 до МВК'!G128</f>
        <v>0</v>
      </c>
      <c r="H128" s="311">
        <f>'d3'!H128-'d3 до МВК'!H128</f>
        <v>0</v>
      </c>
      <c r="I128" s="311">
        <f>'d3'!I128-'d3 до МВК'!I128</f>
        <v>0</v>
      </c>
      <c r="J128" s="311">
        <f>'d3'!J128-'d3 до МВК'!J128</f>
        <v>0</v>
      </c>
      <c r="K128" s="311">
        <f>'d3'!K128-'d3 до МВК'!K128</f>
        <v>0</v>
      </c>
      <c r="L128" s="311">
        <f>'d3'!L128-'d3 до МВК'!L128</f>
        <v>0</v>
      </c>
      <c r="M128" s="311">
        <f>'d3'!M128-'d3 до МВК'!M128</f>
        <v>0</v>
      </c>
      <c r="N128" s="311">
        <f>'d3'!N128-'d3 до МВК'!N128</f>
        <v>0</v>
      </c>
      <c r="O128" s="311">
        <f>'d3'!O128-'d3 до МВК'!O128</f>
        <v>0</v>
      </c>
      <c r="P128" s="311">
        <f>'d3'!P128-'d3 до МВК'!P128</f>
        <v>0</v>
      </c>
    </row>
    <row r="129" spans="1:16" ht="183" x14ac:dyDescent="0.2">
      <c r="A129" s="454" t="s">
        <v>76</v>
      </c>
      <c r="B129" s="454" t="s">
        <v>277</v>
      </c>
      <c r="C129" s="454" t="s">
        <v>285</v>
      </c>
      <c r="D129" s="454" t="s">
        <v>557</v>
      </c>
      <c r="E129" s="311">
        <f>'d3'!E129-'d3 до МВК'!E129</f>
        <v>0</v>
      </c>
      <c r="F129" s="311">
        <f>'d3'!F129-'d3 до МВК'!F129</f>
        <v>0</v>
      </c>
      <c r="G129" s="311">
        <f>'d3'!G129-'d3 до МВК'!G129</f>
        <v>0</v>
      </c>
      <c r="H129" s="311">
        <f>'d3'!H129-'d3 до МВК'!H129</f>
        <v>0</v>
      </c>
      <c r="I129" s="311">
        <f>'d3'!I129-'d3 до МВК'!I129</f>
        <v>0</v>
      </c>
      <c r="J129" s="311">
        <f>'d3'!J129-'d3 до МВК'!J129</f>
        <v>0</v>
      </c>
      <c r="K129" s="311">
        <f>'d3'!K129-'d3 до МВК'!K129</f>
        <v>0</v>
      </c>
      <c r="L129" s="311">
        <f>'d3'!L129-'d3 до МВК'!L129</f>
        <v>0</v>
      </c>
      <c r="M129" s="311">
        <f>'d3'!M129-'d3 до МВК'!M129</f>
        <v>0</v>
      </c>
      <c r="N129" s="311">
        <f>'d3'!N129-'d3 до МВК'!N129</f>
        <v>0</v>
      </c>
      <c r="O129" s="311">
        <f>'d3'!O129-'d3 до МВК'!O129</f>
        <v>0</v>
      </c>
      <c r="P129" s="311">
        <f>'d3'!P129-'d3 до МВК'!P129</f>
        <v>0</v>
      </c>
    </row>
    <row r="130" spans="1:16" ht="183" x14ac:dyDescent="0.2">
      <c r="A130" s="454" t="s">
        <v>49</v>
      </c>
      <c r="B130" s="454" t="s">
        <v>282</v>
      </c>
      <c r="C130" s="454" t="s">
        <v>285</v>
      </c>
      <c r="D130" s="454" t="s">
        <v>77</v>
      </c>
      <c r="E130" s="311">
        <f>'d3'!E130-'d3 до МВК'!E130</f>
        <v>0</v>
      </c>
      <c r="F130" s="311">
        <f>'d3'!F130-'d3 до МВК'!F130</f>
        <v>0</v>
      </c>
      <c r="G130" s="311">
        <f>'d3'!G130-'d3 до МВК'!G130</f>
        <v>0</v>
      </c>
      <c r="H130" s="311">
        <f>'d3'!H130-'d3 до МВК'!H130</f>
        <v>0</v>
      </c>
      <c r="I130" s="311">
        <f>'d3'!I130-'d3 до МВК'!I130</f>
        <v>0</v>
      </c>
      <c r="J130" s="311">
        <f>'d3'!J130-'d3 до МВК'!J130</f>
        <v>0</v>
      </c>
      <c r="K130" s="311">
        <f>'d3'!K130-'d3 до МВК'!K130</f>
        <v>0</v>
      </c>
      <c r="L130" s="311">
        <f>'d3'!L130-'d3 до МВК'!L130</f>
        <v>0</v>
      </c>
      <c r="M130" s="311">
        <f>'d3'!M130-'d3 до МВК'!M130</f>
        <v>0</v>
      </c>
      <c r="N130" s="311">
        <f>'d3'!N130-'d3 до МВК'!N130</f>
        <v>0</v>
      </c>
      <c r="O130" s="311">
        <f>'d3'!O130-'d3 до МВК'!O130</f>
        <v>0</v>
      </c>
      <c r="P130" s="311">
        <f>'d3'!P130-'d3 до МВК'!P130</f>
        <v>0</v>
      </c>
    </row>
    <row r="131" spans="1:16" ht="183" x14ac:dyDescent="0.2">
      <c r="A131" s="454" t="s">
        <v>50</v>
      </c>
      <c r="B131" s="454" t="s">
        <v>283</v>
      </c>
      <c r="C131" s="454" t="s">
        <v>285</v>
      </c>
      <c r="D131" s="454" t="s">
        <v>78</v>
      </c>
      <c r="E131" s="311">
        <f>'d3'!E131-'d3 до МВК'!E131</f>
        <v>0</v>
      </c>
      <c r="F131" s="311">
        <f>'d3'!F131-'d3 до МВК'!F131</f>
        <v>0</v>
      </c>
      <c r="G131" s="311">
        <f>'d3'!G131-'d3 до МВК'!G131</f>
        <v>0</v>
      </c>
      <c r="H131" s="311">
        <f>'d3'!H131-'d3 до МВК'!H131</f>
        <v>0</v>
      </c>
      <c r="I131" s="311">
        <f>'d3'!I131-'d3 до МВК'!I131</f>
        <v>0</v>
      </c>
      <c r="J131" s="311">
        <f>'d3'!J131-'d3 до МВК'!J131</f>
        <v>0</v>
      </c>
      <c r="K131" s="311">
        <f>'d3'!K131-'d3 до МВК'!K131</f>
        <v>0</v>
      </c>
      <c r="L131" s="311">
        <f>'d3'!L131-'d3 до МВК'!L131</f>
        <v>0</v>
      </c>
      <c r="M131" s="311">
        <f>'d3'!M131-'d3 до МВК'!M131</f>
        <v>0</v>
      </c>
      <c r="N131" s="311">
        <f>'d3'!N131-'d3 до МВК'!N131</f>
        <v>0</v>
      </c>
      <c r="O131" s="311">
        <f>'d3'!O131-'d3 до МВК'!O131</f>
        <v>0</v>
      </c>
      <c r="P131" s="311">
        <f>'d3'!P131-'d3 до МВК'!P131</f>
        <v>0</v>
      </c>
    </row>
    <row r="132" spans="1:16" ht="274.5" x14ac:dyDescent="0.2">
      <c r="A132" s="279" t="s">
        <v>51</v>
      </c>
      <c r="B132" s="279" t="s">
        <v>284</v>
      </c>
      <c r="C132" s="279" t="s">
        <v>285</v>
      </c>
      <c r="D132" s="454" t="s">
        <v>52</v>
      </c>
      <c r="E132" s="311">
        <f>'d3'!E132-'d3 до МВК'!E132</f>
        <v>0</v>
      </c>
      <c r="F132" s="311">
        <f>'d3'!F132-'d3 до МВК'!F132</f>
        <v>0</v>
      </c>
      <c r="G132" s="311">
        <f>'d3'!G132-'d3 до МВК'!G132</f>
        <v>0</v>
      </c>
      <c r="H132" s="311">
        <f>'d3'!H132-'d3 до МВК'!H132</f>
        <v>0</v>
      </c>
      <c r="I132" s="311">
        <f>'d3'!I132-'d3 до МВК'!I132</f>
        <v>0</v>
      </c>
      <c r="J132" s="311">
        <f>'d3'!J132-'d3 до МВК'!J132</f>
        <v>0</v>
      </c>
      <c r="K132" s="311">
        <f>'d3'!K132-'d3 до МВК'!K132</f>
        <v>0</v>
      </c>
      <c r="L132" s="311">
        <f>'d3'!L132-'d3 до МВК'!L132</f>
        <v>0</v>
      </c>
      <c r="M132" s="311">
        <f>'d3'!M132-'d3 до МВК'!M132</f>
        <v>0</v>
      </c>
      <c r="N132" s="311">
        <f>'d3'!N132-'d3 до МВК'!N132</f>
        <v>0</v>
      </c>
      <c r="O132" s="311">
        <f>'d3'!O132-'d3 до МВК'!O132</f>
        <v>0</v>
      </c>
      <c r="P132" s="311">
        <f>'d3'!P132-'d3 до МВК'!P132</f>
        <v>0</v>
      </c>
    </row>
    <row r="133" spans="1:16" ht="183" x14ac:dyDescent="0.2">
      <c r="A133" s="454" t="s">
        <v>952</v>
      </c>
      <c r="B133" s="454" t="s">
        <v>953</v>
      </c>
      <c r="C133" s="454" t="s">
        <v>285</v>
      </c>
      <c r="D133" s="454" t="s">
        <v>954</v>
      </c>
      <c r="E133" s="311">
        <f>'d3'!E133-'d3 до МВК'!E133</f>
        <v>0</v>
      </c>
      <c r="F133" s="311">
        <f>'d3'!F133-'d3 до МВК'!F133</f>
        <v>0</v>
      </c>
      <c r="G133" s="311">
        <f>'d3'!G133-'d3 до МВК'!G133</f>
        <v>0</v>
      </c>
      <c r="H133" s="311">
        <f>'d3'!H133-'d3 до МВК'!H133</f>
        <v>0</v>
      </c>
      <c r="I133" s="311">
        <f>'d3'!I133-'d3 до МВК'!I133</f>
        <v>0</v>
      </c>
      <c r="J133" s="311">
        <f>'d3'!J133-'d3 до МВК'!J133</f>
        <v>0</v>
      </c>
      <c r="K133" s="311">
        <f>'d3'!K133-'d3 до МВК'!K133</f>
        <v>0</v>
      </c>
      <c r="L133" s="311">
        <f>'d3'!L133-'d3 до МВК'!L133</f>
        <v>0</v>
      </c>
      <c r="M133" s="311">
        <f>'d3'!M133-'d3 до МВК'!M133</f>
        <v>0</v>
      </c>
      <c r="N133" s="311">
        <f>'d3'!N133-'d3 до МВК'!N133</f>
        <v>0</v>
      </c>
      <c r="O133" s="311">
        <f>'d3'!O133-'d3 до МВК'!O133</f>
        <v>0</v>
      </c>
      <c r="P133" s="311">
        <f>'d3'!P133-'d3 до МВК'!P133</f>
        <v>0</v>
      </c>
    </row>
    <row r="134" spans="1:16" ht="91.5" x14ac:dyDescent="0.2">
      <c r="A134" s="279" t="s">
        <v>53</v>
      </c>
      <c r="B134" s="279" t="s">
        <v>286</v>
      </c>
      <c r="C134" s="279" t="s">
        <v>285</v>
      </c>
      <c r="D134" s="454" t="s">
        <v>54</v>
      </c>
      <c r="E134" s="311">
        <f>'d3'!E134-'d3 до МВК'!E134</f>
        <v>0</v>
      </c>
      <c r="F134" s="311">
        <f>'d3'!F134-'d3 до МВК'!F134</f>
        <v>0</v>
      </c>
      <c r="G134" s="311">
        <f>'d3'!G134-'d3 до МВК'!G134</f>
        <v>0</v>
      </c>
      <c r="H134" s="311">
        <f>'d3'!H134-'d3 до МВК'!H134</f>
        <v>0</v>
      </c>
      <c r="I134" s="311">
        <f>'d3'!I134-'d3 до МВК'!I134</f>
        <v>0</v>
      </c>
      <c r="J134" s="311">
        <f>'d3'!J134-'d3 до МВК'!J134</f>
        <v>0</v>
      </c>
      <c r="K134" s="311">
        <f>'d3'!K134-'d3 до МВК'!K134</f>
        <v>0</v>
      </c>
      <c r="L134" s="311">
        <f>'d3'!L134-'d3 до МВК'!L134</f>
        <v>0</v>
      </c>
      <c r="M134" s="311">
        <f>'d3'!M134-'d3 до МВК'!M134</f>
        <v>0</v>
      </c>
      <c r="N134" s="311">
        <f>'d3'!N134-'d3 до МВК'!N134</f>
        <v>0</v>
      </c>
      <c r="O134" s="311">
        <f>'d3'!O134-'d3 до МВК'!O134</f>
        <v>0</v>
      </c>
      <c r="P134" s="311">
        <f>'d3'!P134-'d3 до МВК'!P134</f>
        <v>0</v>
      </c>
    </row>
    <row r="135" spans="1:16" ht="274.5" x14ac:dyDescent="0.2">
      <c r="A135" s="279" t="s">
        <v>531</v>
      </c>
      <c r="B135" s="279" t="s">
        <v>530</v>
      </c>
      <c r="C135" s="279" t="s">
        <v>529</v>
      </c>
      <c r="D135" s="454" t="s">
        <v>528</v>
      </c>
      <c r="E135" s="311">
        <f>'d3'!E135-'d3 до МВК'!E135</f>
        <v>0</v>
      </c>
      <c r="F135" s="311">
        <f>'d3'!F135-'d3 до МВК'!F135</f>
        <v>0</v>
      </c>
      <c r="G135" s="311">
        <f>'d3'!G135-'d3 до МВК'!G135</f>
        <v>0</v>
      </c>
      <c r="H135" s="311">
        <f>'d3'!H135-'d3 до МВК'!H135</f>
        <v>0</v>
      </c>
      <c r="I135" s="311">
        <f>'d3'!I135-'d3 до МВК'!I135</f>
        <v>0</v>
      </c>
      <c r="J135" s="311">
        <f>'d3'!J135-'d3 до МВК'!J135</f>
        <v>0</v>
      </c>
      <c r="K135" s="311">
        <f>'d3'!K135-'d3 до МВК'!K135</f>
        <v>0</v>
      </c>
      <c r="L135" s="311">
        <f>'d3'!L135-'d3 до МВК'!L135</f>
        <v>0</v>
      </c>
      <c r="M135" s="311">
        <f>'d3'!M135-'d3 до МВК'!M135</f>
        <v>0</v>
      </c>
      <c r="N135" s="311">
        <f>'d3'!N135-'d3 до МВК'!N135</f>
        <v>0</v>
      </c>
      <c r="O135" s="311">
        <f>'d3'!O135-'d3 до МВК'!O135</f>
        <v>0</v>
      </c>
      <c r="P135" s="311">
        <f>'d3'!P135-'d3 до МВК'!P135</f>
        <v>0</v>
      </c>
    </row>
    <row r="136" spans="1:16" ht="91.5" x14ac:dyDescent="0.2">
      <c r="A136" s="454" t="s">
        <v>876</v>
      </c>
      <c r="B136" s="454" t="s">
        <v>287</v>
      </c>
      <c r="C136" s="454" t="s">
        <v>250</v>
      </c>
      <c r="D136" s="454" t="s">
        <v>57</v>
      </c>
      <c r="E136" s="311">
        <f>'d3'!E136-'d3 до МВК'!E136</f>
        <v>0</v>
      </c>
      <c r="F136" s="311">
        <f>'d3'!F136-'d3 до МВК'!F136</f>
        <v>0</v>
      </c>
      <c r="G136" s="311">
        <f>'d3'!G136-'d3 до МВК'!G136</f>
        <v>0</v>
      </c>
      <c r="H136" s="311">
        <f>'d3'!H136-'d3 до МВК'!H136</f>
        <v>0</v>
      </c>
      <c r="I136" s="311">
        <f>'d3'!I136-'d3 до МВК'!I136</f>
        <v>0</v>
      </c>
      <c r="J136" s="311">
        <f>'d3'!J136-'d3 до МВК'!J136</f>
        <v>0</v>
      </c>
      <c r="K136" s="311">
        <f>'d3'!K136-'d3 до МВК'!K136</f>
        <v>0</v>
      </c>
      <c r="L136" s="311">
        <f>'d3'!L136-'d3 до МВК'!L136</f>
        <v>0</v>
      </c>
      <c r="M136" s="311">
        <f>'d3'!M136-'d3 до МВК'!M136</f>
        <v>0</v>
      </c>
      <c r="N136" s="311">
        <f>'d3'!N136-'d3 до МВК'!N136</f>
        <v>0</v>
      </c>
      <c r="O136" s="311">
        <f>'d3'!O136-'d3 до МВК'!O136</f>
        <v>0</v>
      </c>
      <c r="P136" s="311">
        <f>'d3'!P136-'d3 до МВК'!P136</f>
        <v>0</v>
      </c>
    </row>
    <row r="137" spans="1:16" ht="180" x14ac:dyDescent="0.2">
      <c r="A137" s="327" t="s">
        <v>238</v>
      </c>
      <c r="B137" s="327"/>
      <c r="C137" s="327"/>
      <c r="D137" s="328" t="s">
        <v>42</v>
      </c>
      <c r="E137" s="329">
        <f>E138</f>
        <v>-1392000</v>
      </c>
      <c r="F137" s="329">
        <f t="shared" ref="F137:G137" si="34">F138</f>
        <v>-1392000</v>
      </c>
      <c r="G137" s="329">
        <f t="shared" si="34"/>
        <v>0</v>
      </c>
      <c r="H137" s="329">
        <f>H138</f>
        <v>0</v>
      </c>
      <c r="I137" s="329">
        <f t="shared" ref="I137" si="35">I138</f>
        <v>0</v>
      </c>
      <c r="J137" s="329">
        <f>J138</f>
        <v>0</v>
      </c>
      <c r="K137" s="329">
        <f>K138</f>
        <v>0</v>
      </c>
      <c r="L137" s="329">
        <f>L138</f>
        <v>0</v>
      </c>
      <c r="M137" s="329">
        <f t="shared" ref="M137" si="36">M138</f>
        <v>0</v>
      </c>
      <c r="N137" s="329">
        <f>N138</f>
        <v>0</v>
      </c>
      <c r="O137" s="329">
        <f>O138</f>
        <v>0</v>
      </c>
      <c r="P137" s="329">
        <f>P138</f>
        <v>-1392000</v>
      </c>
    </row>
    <row r="138" spans="1:16" ht="180" x14ac:dyDescent="0.2">
      <c r="A138" s="324" t="s">
        <v>239</v>
      </c>
      <c r="B138" s="324"/>
      <c r="C138" s="324"/>
      <c r="D138" s="325" t="s">
        <v>63</v>
      </c>
      <c r="E138" s="326">
        <f>SUM(E139:E158)</f>
        <v>-1392000</v>
      </c>
      <c r="F138" s="326">
        <f>SUM(F139:F158)</f>
        <v>-1392000</v>
      </c>
      <c r="G138" s="326">
        <f>SUM(G139:G158)</f>
        <v>0</v>
      </c>
      <c r="H138" s="326">
        <f>SUM(H139:H158)</f>
        <v>0</v>
      </c>
      <c r="I138" s="326">
        <f>SUM(I139:I158)</f>
        <v>0</v>
      </c>
      <c r="J138" s="326">
        <f t="shared" ref="J138" si="37">L138+O138</f>
        <v>0</v>
      </c>
      <c r="K138" s="326">
        <f>SUM(K139:K158)</f>
        <v>0</v>
      </c>
      <c r="L138" s="326">
        <f>SUM(L139:L158)</f>
        <v>0</v>
      </c>
      <c r="M138" s="326">
        <f>SUM(M139:M158)</f>
        <v>0</v>
      </c>
      <c r="N138" s="326">
        <f>SUM(N139:N158)</f>
        <v>0</v>
      </c>
      <c r="O138" s="326">
        <f>SUM(O139:O158)</f>
        <v>0</v>
      </c>
      <c r="P138" s="326">
        <f>E138+J138</f>
        <v>-1392000</v>
      </c>
    </row>
    <row r="139" spans="1:16" ht="228.75" x14ac:dyDescent="0.2">
      <c r="A139" s="454" t="s">
        <v>717</v>
      </c>
      <c r="B139" s="454" t="s">
        <v>335</v>
      </c>
      <c r="C139" s="454" t="s">
        <v>333</v>
      </c>
      <c r="D139" s="454" t="s">
        <v>334</v>
      </c>
      <c r="E139" s="311">
        <f>'d3'!E139-'d3 до МВК'!E139</f>
        <v>0</v>
      </c>
      <c r="F139" s="311">
        <f>'d3'!F139-'d3 до МВК'!F139</f>
        <v>0</v>
      </c>
      <c r="G139" s="311">
        <f>'d3'!G139-'d3 до МВК'!G139</f>
        <v>0</v>
      </c>
      <c r="H139" s="311">
        <f>'d3'!H139-'d3 до МВК'!H139</f>
        <v>0</v>
      </c>
      <c r="I139" s="311">
        <f>'d3'!I139-'d3 до МВК'!I139</f>
        <v>0</v>
      </c>
      <c r="J139" s="311">
        <f>'d3'!J139-'d3 до МВК'!J139</f>
        <v>0</v>
      </c>
      <c r="K139" s="311">
        <f>'d3'!K139-'d3 до МВК'!K139</f>
        <v>0</v>
      </c>
      <c r="L139" s="311">
        <f>'d3'!L139-'d3 до МВК'!L139</f>
        <v>0</v>
      </c>
      <c r="M139" s="311">
        <f>'d3'!M139-'d3 до МВК'!M139</f>
        <v>0</v>
      </c>
      <c r="N139" s="311">
        <f>'d3'!N139-'d3 до МВК'!N139</f>
        <v>0</v>
      </c>
      <c r="O139" s="311">
        <f>'d3'!O139-'d3 до МВК'!O139</f>
        <v>0</v>
      </c>
      <c r="P139" s="311">
        <f>'d3'!P139-'d3 до МВК'!P139</f>
        <v>0</v>
      </c>
    </row>
    <row r="140" spans="1:16" ht="91.5" x14ac:dyDescent="0.2">
      <c r="A140" s="454" t="s">
        <v>806</v>
      </c>
      <c r="B140" s="454" t="s">
        <v>71</v>
      </c>
      <c r="C140" s="454" t="s">
        <v>70</v>
      </c>
      <c r="D140" s="454" t="s">
        <v>348</v>
      </c>
      <c r="E140" s="311">
        <f>'d3'!E140-'d3 до МВК'!E140</f>
        <v>0</v>
      </c>
      <c r="F140" s="311">
        <f>'d3'!F140-'d3 до МВК'!F140</f>
        <v>0</v>
      </c>
      <c r="G140" s="311">
        <f>'d3'!G140-'d3 до МВК'!G140</f>
        <v>0</v>
      </c>
      <c r="H140" s="311">
        <f>'d3'!H140-'d3 до МВК'!H140</f>
        <v>0</v>
      </c>
      <c r="I140" s="311">
        <f>'d3'!I140-'d3 до МВК'!I140</f>
        <v>0</v>
      </c>
      <c r="J140" s="311">
        <f>'d3'!J140-'d3 до МВК'!J140</f>
        <v>0</v>
      </c>
      <c r="K140" s="311">
        <f>'d3'!K140-'d3 до МВК'!K140</f>
        <v>0</v>
      </c>
      <c r="L140" s="311">
        <f>'d3'!L140-'d3 до МВК'!L140</f>
        <v>0</v>
      </c>
      <c r="M140" s="311">
        <f>'d3'!M140-'d3 до МВК'!M140</f>
        <v>0</v>
      </c>
      <c r="N140" s="311">
        <f>'d3'!N140-'d3 до МВК'!N140</f>
        <v>0</v>
      </c>
      <c r="O140" s="311">
        <f>'d3'!O140-'d3 до МВК'!O140</f>
        <v>0</v>
      </c>
      <c r="P140" s="311">
        <f>'d3'!P140-'d3 до МВК'!P140</f>
        <v>0</v>
      </c>
    </row>
    <row r="141" spans="1:16" ht="137.25" x14ac:dyDescent="0.2">
      <c r="A141" s="454" t="s">
        <v>411</v>
      </c>
      <c r="B141" s="454" t="s">
        <v>412</v>
      </c>
      <c r="C141" s="454" t="s">
        <v>529</v>
      </c>
      <c r="D141" s="454" t="s">
        <v>413</v>
      </c>
      <c r="E141" s="311">
        <f>'d3'!E141-'d3 до МВК'!E141</f>
        <v>0</v>
      </c>
      <c r="F141" s="311">
        <f>'d3'!F141-'d3 до МВК'!F141</f>
        <v>0</v>
      </c>
      <c r="G141" s="311">
        <f>'d3'!G141-'d3 до МВК'!G141</f>
        <v>0</v>
      </c>
      <c r="H141" s="311">
        <f>'d3'!H141-'d3 до МВК'!H141</f>
        <v>0</v>
      </c>
      <c r="I141" s="311">
        <f>'d3'!I141-'d3 до МВК'!I141</f>
        <v>0</v>
      </c>
      <c r="J141" s="311">
        <f>'d3'!J141-'d3 до МВК'!J141</f>
        <v>0</v>
      </c>
      <c r="K141" s="311">
        <f>'d3'!K141-'d3 до МВК'!K141</f>
        <v>0</v>
      </c>
      <c r="L141" s="311">
        <f>'d3'!L141-'d3 до МВК'!L141</f>
        <v>0</v>
      </c>
      <c r="M141" s="311">
        <f>'d3'!M141-'d3 до МВК'!M141</f>
        <v>0</v>
      </c>
      <c r="N141" s="311">
        <f>'d3'!N141-'d3 до МВК'!N141</f>
        <v>0</v>
      </c>
      <c r="O141" s="311">
        <f>'d3'!O141-'d3 до МВК'!O141</f>
        <v>0</v>
      </c>
      <c r="P141" s="311">
        <f>'d3'!P141-'d3 до МВК'!P141</f>
        <v>0</v>
      </c>
    </row>
    <row r="142" spans="1:16" ht="137.25" customHeight="1" x14ac:dyDescent="0.2">
      <c r="A142" s="454" t="s">
        <v>624</v>
      </c>
      <c r="B142" s="454" t="s">
        <v>625</v>
      </c>
      <c r="C142" s="454" t="s">
        <v>414</v>
      </c>
      <c r="D142" s="454" t="s">
        <v>626</v>
      </c>
      <c r="E142" s="311">
        <f>'d3'!E142-'d3 до МВК'!E142</f>
        <v>0</v>
      </c>
      <c r="F142" s="311">
        <f>'d3'!F142-'d3 до МВК'!F142</f>
        <v>0</v>
      </c>
      <c r="G142" s="311">
        <f>'d3'!G142-'d3 до МВК'!G142</f>
        <v>0</v>
      </c>
      <c r="H142" s="311">
        <f>'d3'!H142-'d3 до МВК'!H142</f>
        <v>0</v>
      </c>
      <c r="I142" s="311">
        <f>'d3'!I142-'d3 до МВК'!I142</f>
        <v>0</v>
      </c>
      <c r="J142" s="311">
        <f>'d3'!J142-'d3 до МВК'!J142</f>
        <v>0</v>
      </c>
      <c r="K142" s="311">
        <f>'d3'!K142-'d3 до МВК'!K142</f>
        <v>0</v>
      </c>
      <c r="L142" s="311">
        <f>'d3'!L142-'d3 до МВК'!L142</f>
        <v>0</v>
      </c>
      <c r="M142" s="311">
        <f>'d3'!M142-'d3 до МВК'!M142</f>
        <v>0</v>
      </c>
      <c r="N142" s="311">
        <f>'d3'!N142-'d3 до МВК'!N142</f>
        <v>0</v>
      </c>
      <c r="O142" s="311">
        <f>'d3'!O142-'d3 до МВК'!O142</f>
        <v>0</v>
      </c>
      <c r="P142" s="311">
        <f>'d3'!P142-'d3 до МВК'!P142</f>
        <v>0</v>
      </c>
    </row>
    <row r="143" spans="1:16" ht="183" customHeight="1" x14ac:dyDescent="0.2">
      <c r="A143" s="454" t="s">
        <v>418</v>
      </c>
      <c r="B143" s="454" t="s">
        <v>419</v>
      </c>
      <c r="C143" s="454" t="s">
        <v>414</v>
      </c>
      <c r="D143" s="454" t="s">
        <v>420</v>
      </c>
      <c r="E143" s="311">
        <f>'d3'!E143-'d3 до МВК'!E143</f>
        <v>0</v>
      </c>
      <c r="F143" s="311">
        <f>'d3'!F143-'d3 до МВК'!F143</f>
        <v>0</v>
      </c>
      <c r="G143" s="311">
        <f>'d3'!G143-'d3 до МВК'!G143</f>
        <v>0</v>
      </c>
      <c r="H143" s="311">
        <f>'d3'!H143-'d3 до МВК'!H143</f>
        <v>0</v>
      </c>
      <c r="I143" s="311">
        <f>'d3'!I143-'d3 до МВК'!I143</f>
        <v>0</v>
      </c>
      <c r="J143" s="311">
        <f>'d3'!J143-'d3 до МВК'!J143</f>
        <v>0</v>
      </c>
      <c r="K143" s="311">
        <f>'d3'!K143-'d3 до МВК'!K143</f>
        <v>0</v>
      </c>
      <c r="L143" s="311">
        <f>'d3'!L143-'d3 до МВК'!L143</f>
        <v>0</v>
      </c>
      <c r="M143" s="311">
        <f>'d3'!M143-'d3 до МВК'!M143</f>
        <v>0</v>
      </c>
      <c r="N143" s="311">
        <f>'d3'!N143-'d3 до МВК'!N143</f>
        <v>0</v>
      </c>
      <c r="O143" s="311">
        <f>'d3'!O143-'d3 до МВК'!O143</f>
        <v>0</v>
      </c>
      <c r="P143" s="311">
        <f>'d3'!P143-'d3 до МВК'!P143</f>
        <v>0</v>
      </c>
    </row>
    <row r="144" spans="1:16" ht="137.25" x14ac:dyDescent="0.2">
      <c r="A144" s="454" t="s">
        <v>441</v>
      </c>
      <c r="B144" s="454" t="s">
        <v>442</v>
      </c>
      <c r="C144" s="454" t="s">
        <v>414</v>
      </c>
      <c r="D144" s="454" t="s">
        <v>443</v>
      </c>
      <c r="E144" s="311">
        <f>'d3'!E144-'d3 до МВК'!E144</f>
        <v>0</v>
      </c>
      <c r="F144" s="311">
        <f>'d3'!F144-'d3 до МВК'!F144</f>
        <v>0</v>
      </c>
      <c r="G144" s="311">
        <f>'d3'!G144-'d3 до МВК'!G144</f>
        <v>0</v>
      </c>
      <c r="H144" s="311">
        <f>'d3'!H144-'d3 до МВК'!H144</f>
        <v>0</v>
      </c>
      <c r="I144" s="311">
        <f>'d3'!I144-'d3 до МВК'!I144</f>
        <v>0</v>
      </c>
      <c r="J144" s="311">
        <f>'d3'!J144-'d3 до МВК'!J144</f>
        <v>0</v>
      </c>
      <c r="K144" s="311">
        <f>'d3'!K144-'d3 до МВК'!K144</f>
        <v>0</v>
      </c>
      <c r="L144" s="311">
        <f>'d3'!L144-'d3 до МВК'!L144</f>
        <v>0</v>
      </c>
      <c r="M144" s="311">
        <f>'d3'!M144-'d3 до МВК'!M144</f>
        <v>0</v>
      </c>
      <c r="N144" s="311">
        <f>'d3'!N144-'d3 до МВК'!N144</f>
        <v>0</v>
      </c>
      <c r="O144" s="311">
        <f>'d3'!O144-'d3 до МВК'!O144</f>
        <v>0</v>
      </c>
      <c r="P144" s="311">
        <f>'d3'!P144-'d3 до МВК'!P144</f>
        <v>0</v>
      </c>
    </row>
    <row r="145" spans="1:16" ht="183" x14ac:dyDescent="0.2">
      <c r="A145" s="454" t="s">
        <v>415</v>
      </c>
      <c r="B145" s="454" t="s">
        <v>416</v>
      </c>
      <c r="C145" s="454" t="s">
        <v>414</v>
      </c>
      <c r="D145" s="454" t="s">
        <v>417</v>
      </c>
      <c r="E145" s="311">
        <f>'d3'!E145-'d3 до МВК'!E145</f>
        <v>0</v>
      </c>
      <c r="F145" s="311">
        <f>'d3'!F145-'d3 до МВК'!F145</f>
        <v>0</v>
      </c>
      <c r="G145" s="311">
        <f>'d3'!G145-'d3 до МВК'!G145</f>
        <v>0</v>
      </c>
      <c r="H145" s="311">
        <f>'d3'!H145-'d3 до МВК'!H145</f>
        <v>0</v>
      </c>
      <c r="I145" s="311">
        <f>'d3'!I145-'d3 до МВК'!I145</f>
        <v>0</v>
      </c>
      <c r="J145" s="311">
        <f>'d3'!J145-'d3 до МВК'!J145</f>
        <v>0</v>
      </c>
      <c r="K145" s="311">
        <f>'d3'!K145-'d3 до МВК'!K145</f>
        <v>0</v>
      </c>
      <c r="L145" s="311">
        <f>'d3'!L145-'d3 до МВК'!L145</f>
        <v>0</v>
      </c>
      <c r="M145" s="311">
        <f>'d3'!M145-'d3 до МВК'!M145</f>
        <v>0</v>
      </c>
      <c r="N145" s="311">
        <f>'d3'!N145-'d3 до МВК'!N145</f>
        <v>0</v>
      </c>
      <c r="O145" s="311">
        <f>'d3'!O145-'d3 до МВК'!O145</f>
        <v>0</v>
      </c>
      <c r="P145" s="311">
        <f>'d3'!P145-'d3 до МВК'!P145</f>
        <v>0</v>
      </c>
    </row>
    <row r="146" spans="1:16" ht="320.25" customHeight="1" x14ac:dyDescent="0.2">
      <c r="A146" s="454" t="s">
        <v>435</v>
      </c>
      <c r="B146" s="454" t="s">
        <v>436</v>
      </c>
      <c r="C146" s="454" t="s">
        <v>414</v>
      </c>
      <c r="D146" s="454" t="s">
        <v>437</v>
      </c>
      <c r="E146" s="311">
        <f>'d3'!E146-'d3 до МВК'!E146</f>
        <v>0</v>
      </c>
      <c r="F146" s="311">
        <f>'d3'!F146-'d3 до МВК'!F146</f>
        <v>0</v>
      </c>
      <c r="G146" s="311">
        <f>'d3'!G146-'d3 до МВК'!G146</f>
        <v>0</v>
      </c>
      <c r="H146" s="311">
        <f>'d3'!H146-'d3 до МВК'!H146</f>
        <v>0</v>
      </c>
      <c r="I146" s="311">
        <f>'d3'!I146-'d3 до МВК'!I146</f>
        <v>0</v>
      </c>
      <c r="J146" s="311">
        <f>'d3'!J146-'d3 до МВК'!J146</f>
        <v>0</v>
      </c>
      <c r="K146" s="311">
        <f>'d3'!K146-'d3 до МВК'!K146</f>
        <v>0</v>
      </c>
      <c r="L146" s="311">
        <f>'d3'!L146-'d3 до МВК'!L146</f>
        <v>0</v>
      </c>
      <c r="M146" s="311">
        <f>'d3'!M146-'d3 до МВК'!M146</f>
        <v>0</v>
      </c>
      <c r="N146" s="311">
        <f>'d3'!N146-'d3 до МВК'!N146</f>
        <v>0</v>
      </c>
      <c r="O146" s="311">
        <f>'d3'!O146-'d3 до МВК'!O146</f>
        <v>0</v>
      </c>
      <c r="P146" s="311">
        <f>'d3'!P146-'d3 до МВК'!P146</f>
        <v>0</v>
      </c>
    </row>
    <row r="147" spans="1:16" ht="91.5" x14ac:dyDescent="0.2">
      <c r="A147" s="454" t="s">
        <v>421</v>
      </c>
      <c r="B147" s="454" t="s">
        <v>422</v>
      </c>
      <c r="C147" s="454" t="s">
        <v>414</v>
      </c>
      <c r="D147" s="454" t="s">
        <v>423</v>
      </c>
      <c r="E147" s="311">
        <f>'d3'!E147-'d3 до МВК'!E147</f>
        <v>0</v>
      </c>
      <c r="F147" s="311">
        <f>'d3'!F147-'d3 до МВК'!F147</f>
        <v>0</v>
      </c>
      <c r="G147" s="311">
        <f>'d3'!G147-'d3 до МВК'!G147</f>
        <v>0</v>
      </c>
      <c r="H147" s="311">
        <f>'d3'!H147-'d3 до МВК'!H147</f>
        <v>0</v>
      </c>
      <c r="I147" s="311">
        <f>'d3'!I147-'d3 до МВК'!I147</f>
        <v>0</v>
      </c>
      <c r="J147" s="311">
        <f>'d3'!J147-'d3 до МВК'!J147</f>
        <v>0</v>
      </c>
      <c r="K147" s="311">
        <f>'d3'!K147-'d3 до МВК'!K147</f>
        <v>0</v>
      </c>
      <c r="L147" s="311">
        <f>'d3'!L147-'d3 до МВК'!L147</f>
        <v>0</v>
      </c>
      <c r="M147" s="311">
        <f>'d3'!M147-'d3 до МВК'!M147</f>
        <v>0</v>
      </c>
      <c r="N147" s="311">
        <f>'d3'!N147-'d3 до МВК'!N147</f>
        <v>0</v>
      </c>
      <c r="O147" s="311">
        <f>'d3'!O147-'d3 до МВК'!O147</f>
        <v>0</v>
      </c>
      <c r="P147" s="311">
        <f>'d3'!P147-'d3 до МВК'!P147</f>
        <v>0</v>
      </c>
    </row>
    <row r="148" spans="1:16" ht="138" customHeight="1" x14ac:dyDescent="0.2">
      <c r="A148" s="454" t="s">
        <v>445</v>
      </c>
      <c r="B148" s="454" t="s">
        <v>446</v>
      </c>
      <c r="C148" s="454" t="s">
        <v>444</v>
      </c>
      <c r="D148" s="454" t="s">
        <v>447</v>
      </c>
      <c r="E148" s="311">
        <f>'d3'!E148-'d3 до МВК'!E148</f>
        <v>0</v>
      </c>
      <c r="F148" s="311">
        <f>'d3'!F148-'d3 до МВК'!F148</f>
        <v>0</v>
      </c>
      <c r="G148" s="311">
        <f>'d3'!G148-'d3 до МВК'!G148</f>
        <v>0</v>
      </c>
      <c r="H148" s="311">
        <f>'d3'!H148-'d3 до МВК'!H148</f>
        <v>0</v>
      </c>
      <c r="I148" s="311">
        <f>'d3'!I148-'d3 до МВК'!I148</f>
        <v>0</v>
      </c>
      <c r="J148" s="311">
        <f>'d3'!J148-'d3 до МВК'!J148</f>
        <v>0</v>
      </c>
      <c r="K148" s="311">
        <f>'d3'!K148-'d3 до МВК'!K148</f>
        <v>0</v>
      </c>
      <c r="L148" s="311">
        <f>'d3'!L148-'d3 до МВК'!L148</f>
        <v>0</v>
      </c>
      <c r="M148" s="311">
        <f>'d3'!M148-'d3 до МВК'!M148</f>
        <v>0</v>
      </c>
      <c r="N148" s="311">
        <f>'d3'!N148-'d3 до МВК'!N148</f>
        <v>0</v>
      </c>
      <c r="O148" s="311">
        <f>'d3'!O148-'d3 до МВК'!O148</f>
        <v>0</v>
      </c>
      <c r="P148" s="311">
        <f>'d3'!P148-'d3 до МВК'!P148</f>
        <v>0</v>
      </c>
    </row>
    <row r="149" spans="1:16" ht="183" customHeight="1" x14ac:dyDescent="0.2">
      <c r="A149" s="454" t="s">
        <v>830</v>
      </c>
      <c r="B149" s="454" t="s">
        <v>559</v>
      </c>
      <c r="C149" s="454" t="s">
        <v>250</v>
      </c>
      <c r="D149" s="454" t="s">
        <v>392</v>
      </c>
      <c r="E149" s="311">
        <f>'d3'!E149-'d3 до МВК'!E149</f>
        <v>0</v>
      </c>
      <c r="F149" s="311">
        <f>'d3'!F149-'d3 до МВК'!F149</f>
        <v>0</v>
      </c>
      <c r="G149" s="311">
        <f>'d3'!G149-'d3 до МВК'!G149</f>
        <v>0</v>
      </c>
      <c r="H149" s="311">
        <f>'d3'!H149-'d3 до МВК'!H149</f>
        <v>0</v>
      </c>
      <c r="I149" s="311">
        <f>'d3'!I149-'d3 до МВК'!I149</f>
        <v>0</v>
      </c>
      <c r="J149" s="311">
        <f>'d3'!J149-'d3 до МВК'!J149</f>
        <v>0</v>
      </c>
      <c r="K149" s="311">
        <f>'d3'!K149-'d3 до МВК'!K149</f>
        <v>0</v>
      </c>
      <c r="L149" s="311">
        <f>'d3'!L149-'d3 до МВК'!L149</f>
        <v>0</v>
      </c>
      <c r="M149" s="311">
        <f>'d3'!M149-'d3 до МВК'!M149</f>
        <v>0</v>
      </c>
      <c r="N149" s="311">
        <f>'d3'!N149-'d3 до МВК'!N149</f>
        <v>0</v>
      </c>
      <c r="O149" s="311">
        <f>'d3'!O149-'d3 до МВК'!O149</f>
        <v>0</v>
      </c>
      <c r="P149" s="311">
        <f>'d3'!P149-'d3 до МВК'!P149</f>
        <v>0</v>
      </c>
    </row>
    <row r="150" spans="1:16" ht="91.5" x14ac:dyDescent="0.2">
      <c r="A150" s="454" t="s">
        <v>700</v>
      </c>
      <c r="B150" s="454" t="s">
        <v>701</v>
      </c>
      <c r="C150" s="454" t="s">
        <v>702</v>
      </c>
      <c r="D150" s="454" t="s">
        <v>703</v>
      </c>
      <c r="E150" s="311">
        <f>'d3'!E150-'d3 до МВК'!E150</f>
        <v>0</v>
      </c>
      <c r="F150" s="311">
        <f>'d3'!F150-'d3 до МВК'!F150</f>
        <v>0</v>
      </c>
      <c r="G150" s="311">
        <f>'d3'!G150-'d3 до МВК'!G150</f>
        <v>0</v>
      </c>
      <c r="H150" s="311">
        <f>'d3'!H150-'d3 до МВК'!H150</f>
        <v>0</v>
      </c>
      <c r="I150" s="311">
        <f>'d3'!I150-'d3 до МВК'!I150</f>
        <v>0</v>
      </c>
      <c r="J150" s="311">
        <f>'d3'!J150-'d3 до МВК'!J150</f>
        <v>0</v>
      </c>
      <c r="K150" s="311">
        <f>'d3'!K150-'d3 до МВК'!K150</f>
        <v>0</v>
      </c>
      <c r="L150" s="311">
        <f>'d3'!L150-'d3 до МВК'!L150</f>
        <v>0</v>
      </c>
      <c r="M150" s="311">
        <f>'d3'!M150-'d3 до МВК'!M150</f>
        <v>0</v>
      </c>
      <c r="N150" s="311">
        <f>'d3'!N150-'d3 до МВК'!N150</f>
        <v>0</v>
      </c>
      <c r="O150" s="311">
        <f>'d3'!O150-'d3 до МВК'!O150</f>
        <v>0</v>
      </c>
      <c r="P150" s="311">
        <f>'d3'!P150-'d3 до МВК'!P150</f>
        <v>0</v>
      </c>
    </row>
    <row r="151" spans="1:16" ht="91.5" x14ac:dyDescent="0.2">
      <c r="A151" s="454" t="s">
        <v>424</v>
      </c>
      <c r="B151" s="454" t="s">
        <v>425</v>
      </c>
      <c r="C151" s="454" t="s">
        <v>427</v>
      </c>
      <c r="D151" s="454" t="s">
        <v>426</v>
      </c>
      <c r="E151" s="311">
        <f>'d3'!E151-'d3 до МВК'!E151</f>
        <v>-1392000</v>
      </c>
      <c r="F151" s="311">
        <f>'d3'!F151-'d3 до МВК'!F151</f>
        <v>-1392000</v>
      </c>
      <c r="G151" s="311">
        <f>'d3'!G151-'d3 до МВК'!G151</f>
        <v>0</v>
      </c>
      <c r="H151" s="311">
        <f>'d3'!H151-'d3 до МВК'!H151</f>
        <v>0</v>
      </c>
      <c r="I151" s="311">
        <f>'d3'!I151-'d3 до МВК'!I151</f>
        <v>0</v>
      </c>
      <c r="J151" s="311">
        <f>'d3'!J151-'d3 до МВК'!J151</f>
        <v>0</v>
      </c>
      <c r="K151" s="311">
        <f>'d3'!K151-'d3 до МВК'!K151</f>
        <v>0</v>
      </c>
      <c r="L151" s="311">
        <f>'d3'!L151-'d3 до МВК'!L151</f>
        <v>0</v>
      </c>
      <c r="M151" s="311">
        <f>'d3'!M151-'d3 до МВК'!M151</f>
        <v>0</v>
      </c>
      <c r="N151" s="311">
        <f>'d3'!N151-'d3 до МВК'!N151</f>
        <v>0</v>
      </c>
      <c r="O151" s="311">
        <f>'d3'!O151-'d3 до МВК'!O151</f>
        <v>0</v>
      </c>
      <c r="P151" s="311">
        <f>'d3'!P151-'d3 до МВК'!P151</f>
        <v>-1392000</v>
      </c>
    </row>
    <row r="152" spans="1:16" ht="228.75" x14ac:dyDescent="0.2">
      <c r="A152" s="454" t="s">
        <v>428</v>
      </c>
      <c r="B152" s="454" t="s">
        <v>429</v>
      </c>
      <c r="C152" s="454" t="s">
        <v>431</v>
      </c>
      <c r="D152" s="454" t="s">
        <v>430</v>
      </c>
      <c r="E152" s="311">
        <f>'d3'!E152-'d3 до МВК'!E152</f>
        <v>0</v>
      </c>
      <c r="F152" s="311">
        <f>'d3'!F152-'d3 до МВК'!F152</f>
        <v>0</v>
      </c>
      <c r="G152" s="311">
        <f>'d3'!G152-'d3 до МВК'!G152</f>
        <v>0</v>
      </c>
      <c r="H152" s="311">
        <f>'d3'!H152-'d3 до МВК'!H152</f>
        <v>0</v>
      </c>
      <c r="I152" s="311">
        <f>'d3'!I152-'d3 до МВК'!I152</f>
        <v>0</v>
      </c>
      <c r="J152" s="311">
        <f>'d3'!J152-'d3 до МВК'!J152</f>
        <v>0</v>
      </c>
      <c r="K152" s="311">
        <f>'d3'!K152-'d3 до МВК'!K152</f>
        <v>0</v>
      </c>
      <c r="L152" s="311">
        <f>'d3'!L152-'d3 до МВК'!L152</f>
        <v>0</v>
      </c>
      <c r="M152" s="311">
        <f>'d3'!M152-'d3 до МВК'!M152</f>
        <v>0</v>
      </c>
      <c r="N152" s="311">
        <f>'d3'!N152-'d3 до МВК'!N152</f>
        <v>0</v>
      </c>
      <c r="O152" s="311">
        <f>'d3'!O152-'d3 до МВК'!O152</f>
        <v>0</v>
      </c>
      <c r="P152" s="311">
        <f>'d3'!P152-'d3 до МВК'!P152</f>
        <v>0</v>
      </c>
    </row>
    <row r="153" spans="1:16" ht="228.75" x14ac:dyDescent="0.2">
      <c r="A153" s="454" t="s">
        <v>935</v>
      </c>
      <c r="B153" s="454" t="s">
        <v>936</v>
      </c>
      <c r="C153" s="454" t="s">
        <v>431</v>
      </c>
      <c r="D153" s="454" t="s">
        <v>937</v>
      </c>
      <c r="E153" s="311">
        <f>'d3'!E153-'d3 до МВК'!E153</f>
        <v>0</v>
      </c>
      <c r="F153" s="311">
        <f>'d3'!F153-'d3 до МВК'!F153</f>
        <v>0</v>
      </c>
      <c r="G153" s="311">
        <f>'d3'!G153-'d3 до МВК'!G153</f>
        <v>0</v>
      </c>
      <c r="H153" s="311">
        <f>'d3'!H153-'d3 до МВК'!H153</f>
        <v>0</v>
      </c>
      <c r="I153" s="311">
        <f>'d3'!I153-'d3 до МВК'!I153</f>
        <v>0</v>
      </c>
      <c r="J153" s="311">
        <f>'d3'!J153-'d3 до МВК'!J153</f>
        <v>0</v>
      </c>
      <c r="K153" s="311">
        <f>'d3'!K153-'d3 до МВК'!K153</f>
        <v>0</v>
      </c>
      <c r="L153" s="311">
        <f>'d3'!L153-'d3 до МВК'!L153</f>
        <v>0</v>
      </c>
      <c r="M153" s="311">
        <f>'d3'!M153-'d3 до МВК'!M153</f>
        <v>0</v>
      </c>
      <c r="N153" s="311">
        <f>'d3'!N153-'d3 до МВК'!N153</f>
        <v>0</v>
      </c>
      <c r="O153" s="311">
        <f>'d3'!O153-'d3 до МВК'!O153</f>
        <v>0</v>
      </c>
      <c r="P153" s="311">
        <f>'d3'!P153-'d3 до МВК'!P153</f>
        <v>0</v>
      </c>
    </row>
    <row r="154" spans="1:16" ht="46.5" x14ac:dyDescent="0.2">
      <c r="A154" s="454" t="s">
        <v>432</v>
      </c>
      <c r="B154" s="454" t="s">
        <v>311</v>
      </c>
      <c r="C154" s="454" t="s">
        <v>312</v>
      </c>
      <c r="D154" s="454" t="s">
        <v>67</v>
      </c>
      <c r="E154" s="311">
        <f>'d3'!E154-'d3 до МВК'!E154</f>
        <v>0</v>
      </c>
      <c r="F154" s="311">
        <f>'d3'!F154-'d3 до МВК'!F154</f>
        <v>0</v>
      </c>
      <c r="G154" s="311">
        <f>'d3'!G154-'d3 до МВК'!G154</f>
        <v>0</v>
      </c>
      <c r="H154" s="311">
        <f>'d3'!H154-'d3 до МВК'!H154</f>
        <v>0</v>
      </c>
      <c r="I154" s="311">
        <f>'d3'!I154-'d3 до МВК'!I154</f>
        <v>0</v>
      </c>
      <c r="J154" s="311">
        <f>'d3'!J154-'d3 до МВК'!J154</f>
        <v>0</v>
      </c>
      <c r="K154" s="311">
        <f>'d3'!K154-'d3 до МВК'!K154</f>
        <v>0</v>
      </c>
      <c r="L154" s="311">
        <f>'d3'!L154-'d3 до МВК'!L154</f>
        <v>0</v>
      </c>
      <c r="M154" s="311">
        <f>'d3'!M154-'d3 до МВК'!M154</f>
        <v>0</v>
      </c>
      <c r="N154" s="311">
        <f>'d3'!N154-'d3 до МВК'!N154</f>
        <v>0</v>
      </c>
      <c r="O154" s="311">
        <f>'d3'!O154-'d3 до МВК'!O154</f>
        <v>0</v>
      </c>
      <c r="P154" s="311">
        <f>'d3'!P154-'d3 до МВК'!P154</f>
        <v>0</v>
      </c>
    </row>
    <row r="155" spans="1:16" ht="137.25" customHeight="1" x14ac:dyDescent="0.2">
      <c r="A155" s="454" t="s">
        <v>449</v>
      </c>
      <c r="B155" s="454" t="s">
        <v>287</v>
      </c>
      <c r="C155" s="454" t="s">
        <v>250</v>
      </c>
      <c r="D155" s="454" t="s">
        <v>57</v>
      </c>
      <c r="E155" s="311">
        <f>'d3'!E155-'d3 до МВК'!E155</f>
        <v>0</v>
      </c>
      <c r="F155" s="311">
        <f>'d3'!F155-'d3 до МВК'!F155</f>
        <v>0</v>
      </c>
      <c r="G155" s="311">
        <f>'d3'!G155-'d3 до МВК'!G155</f>
        <v>0</v>
      </c>
      <c r="H155" s="311">
        <f>'d3'!H155-'d3 до МВК'!H155</f>
        <v>0</v>
      </c>
      <c r="I155" s="311">
        <f>'d3'!I155-'d3 до МВК'!I155</f>
        <v>0</v>
      </c>
      <c r="J155" s="311">
        <f>'d3'!J155-'d3 до МВК'!J155</f>
        <v>0</v>
      </c>
      <c r="K155" s="311">
        <f>'d3'!K155-'d3 до МВК'!K155</f>
        <v>0</v>
      </c>
      <c r="L155" s="311">
        <f>'d3'!L155-'d3 до МВК'!L155</f>
        <v>0</v>
      </c>
      <c r="M155" s="311">
        <f>'d3'!M155-'d3 до МВК'!M155</f>
        <v>0</v>
      </c>
      <c r="N155" s="311">
        <f>'d3'!N155-'d3 до МВК'!N155</f>
        <v>0</v>
      </c>
      <c r="O155" s="311">
        <f>'d3'!O155-'d3 до МВК'!O155</f>
        <v>0</v>
      </c>
      <c r="P155" s="311">
        <f>'d3'!P155-'d3 до МВК'!P155</f>
        <v>0</v>
      </c>
    </row>
    <row r="156" spans="1:16" ht="409.5" x14ac:dyDescent="0.2">
      <c r="A156" s="476" t="s">
        <v>724</v>
      </c>
      <c r="B156" s="476" t="s">
        <v>525</v>
      </c>
      <c r="C156" s="476" t="s">
        <v>250</v>
      </c>
      <c r="D156" s="267" t="s">
        <v>536</v>
      </c>
      <c r="E156" s="491">
        <f>'d3'!E156-'d3 до МВК'!E156</f>
        <v>0</v>
      </c>
      <c r="F156" s="491">
        <f>'d3'!F156-'d3 до МВК'!F156</f>
        <v>0</v>
      </c>
      <c r="G156" s="491">
        <f>'d3'!G156-'d3 до МВК'!G156</f>
        <v>0</v>
      </c>
      <c r="H156" s="491">
        <f>'d3'!H156-'d3 до МВК'!H156</f>
        <v>0</v>
      </c>
      <c r="I156" s="491">
        <f>'d3'!I156-'d3 до МВК'!I156</f>
        <v>0</v>
      </c>
      <c r="J156" s="491">
        <f>'d3'!J156-'d3 до МВК'!J156</f>
        <v>0</v>
      </c>
      <c r="K156" s="491">
        <f>'d3'!K156-'d3 до МВК'!K156</f>
        <v>0</v>
      </c>
      <c r="L156" s="491">
        <f>'d3'!L156-'d3 до МВК'!L156</f>
        <v>0</v>
      </c>
      <c r="M156" s="491">
        <f>'d3'!M156-'d3 до МВК'!M156</f>
        <v>0</v>
      </c>
      <c r="N156" s="491">
        <f>'d3'!N156-'d3 до МВК'!N156</f>
        <v>0</v>
      </c>
      <c r="O156" s="491">
        <f>'d3'!O156-'d3 до МВК'!O156</f>
        <v>0</v>
      </c>
      <c r="P156" s="491">
        <f>'d3'!P156-'d3 до МВК'!P156</f>
        <v>0</v>
      </c>
    </row>
    <row r="157" spans="1:16" ht="137.25" x14ac:dyDescent="0.2">
      <c r="A157" s="513"/>
      <c r="B157" s="513"/>
      <c r="C157" s="513"/>
      <c r="D157" s="268" t="s">
        <v>537</v>
      </c>
      <c r="E157" s="469"/>
      <c r="F157" s="469"/>
      <c r="G157" s="469"/>
      <c r="H157" s="469"/>
      <c r="I157" s="469"/>
      <c r="J157" s="469"/>
      <c r="K157" s="469"/>
      <c r="L157" s="469"/>
      <c r="M157" s="469"/>
      <c r="N157" s="469"/>
      <c r="O157" s="469"/>
      <c r="P157" s="469"/>
    </row>
    <row r="158" spans="1:16" ht="91.5" x14ac:dyDescent="0.2">
      <c r="A158" s="454" t="s">
        <v>379</v>
      </c>
      <c r="B158" s="454" t="s">
        <v>380</v>
      </c>
      <c r="C158" s="454" t="s">
        <v>381</v>
      </c>
      <c r="D158" s="454" t="s">
        <v>378</v>
      </c>
      <c r="E158" s="311">
        <f>'d3'!E158-'d3 до МВК'!E158</f>
        <v>0</v>
      </c>
      <c r="F158" s="311">
        <f>'d3'!F158-'d3 до МВК'!F158</f>
        <v>0</v>
      </c>
      <c r="G158" s="311">
        <f>'d3'!G158-'d3 до МВК'!G158</f>
        <v>0</v>
      </c>
      <c r="H158" s="311">
        <f>'d3'!H158-'d3 до МВК'!H158</f>
        <v>0</v>
      </c>
      <c r="I158" s="311">
        <f>'d3'!I158-'d3 до МВК'!I158</f>
        <v>0</v>
      </c>
      <c r="J158" s="311">
        <f>'d3'!J158-'d3 до МВК'!J158</f>
        <v>0</v>
      </c>
      <c r="K158" s="311">
        <f>'d3'!K158-'d3 до МВК'!K158</f>
        <v>0</v>
      </c>
      <c r="L158" s="311">
        <f>'d3'!L158-'d3 до МВК'!L158</f>
        <v>0</v>
      </c>
      <c r="M158" s="311">
        <f>'d3'!M158-'d3 до МВК'!M158</f>
        <v>0</v>
      </c>
      <c r="N158" s="311">
        <f>'d3'!N158-'d3 до МВК'!N158</f>
        <v>0</v>
      </c>
      <c r="O158" s="311">
        <f>'d3'!O158-'d3 до МВК'!O158</f>
        <v>0</v>
      </c>
      <c r="P158" s="311">
        <f>'d3'!P158-'d3 до МВК'!P158</f>
        <v>0</v>
      </c>
    </row>
    <row r="159" spans="1:16" ht="315" x14ac:dyDescent="0.2">
      <c r="A159" s="327" t="s">
        <v>44</v>
      </c>
      <c r="B159" s="327"/>
      <c r="C159" s="327"/>
      <c r="D159" s="328" t="s">
        <v>619</v>
      </c>
      <c r="E159" s="329">
        <f>E160</f>
        <v>0</v>
      </c>
      <c r="F159" s="329">
        <f t="shared" ref="F159:G159" si="38">F160</f>
        <v>0</v>
      </c>
      <c r="G159" s="329">
        <f t="shared" si="38"/>
        <v>0</v>
      </c>
      <c r="H159" s="329">
        <f>H160</f>
        <v>0</v>
      </c>
      <c r="I159" s="329">
        <f t="shared" ref="I159" si="39">I160</f>
        <v>0</v>
      </c>
      <c r="J159" s="329">
        <f>J160</f>
        <v>0</v>
      </c>
      <c r="K159" s="329">
        <f>K160</f>
        <v>0</v>
      </c>
      <c r="L159" s="329">
        <f>L160</f>
        <v>0</v>
      </c>
      <c r="M159" s="329">
        <f t="shared" ref="M159" si="40">M160</f>
        <v>0</v>
      </c>
      <c r="N159" s="329">
        <f>N160</f>
        <v>0</v>
      </c>
      <c r="O159" s="329">
        <f>O160</f>
        <v>0</v>
      </c>
      <c r="P159" s="329">
        <f t="shared" ref="P159" si="41">P160</f>
        <v>0</v>
      </c>
    </row>
    <row r="160" spans="1:16" ht="270" x14ac:dyDescent="0.2">
      <c r="A160" s="324" t="s">
        <v>45</v>
      </c>
      <c r="B160" s="324"/>
      <c r="C160" s="324"/>
      <c r="D160" s="325" t="s">
        <v>618</v>
      </c>
      <c r="E160" s="326">
        <f>SUM(E161:E167)</f>
        <v>0</v>
      </c>
      <c r="F160" s="326">
        <f t="shared" ref="F160:O160" si="42">SUM(F161:F167)</f>
        <v>0</v>
      </c>
      <c r="G160" s="326">
        <f t="shared" si="42"/>
        <v>0</v>
      </c>
      <c r="H160" s="326">
        <f t="shared" si="42"/>
        <v>0</v>
      </c>
      <c r="I160" s="326">
        <f t="shared" si="42"/>
        <v>0</v>
      </c>
      <c r="J160" s="326">
        <f t="shared" ref="J160" si="43">L160+O160</f>
        <v>0</v>
      </c>
      <c r="K160" s="326">
        <f t="shared" si="42"/>
        <v>0</v>
      </c>
      <c r="L160" s="326">
        <f t="shared" si="42"/>
        <v>0</v>
      </c>
      <c r="M160" s="326">
        <f t="shared" si="42"/>
        <v>0</v>
      </c>
      <c r="N160" s="326">
        <f t="shared" si="42"/>
        <v>0</v>
      </c>
      <c r="O160" s="326">
        <f t="shared" si="42"/>
        <v>0</v>
      </c>
      <c r="P160" s="326">
        <f t="shared" ref="P160" si="44">E160+J160</f>
        <v>0</v>
      </c>
    </row>
    <row r="161" spans="1:16" ht="228.75" x14ac:dyDescent="0.2">
      <c r="A161" s="454" t="s">
        <v>713</v>
      </c>
      <c r="B161" s="454" t="s">
        <v>335</v>
      </c>
      <c r="C161" s="454" t="s">
        <v>333</v>
      </c>
      <c r="D161" s="454" t="s">
        <v>334</v>
      </c>
      <c r="E161" s="311">
        <f>'d3'!E161-'d3 до МВК'!E161</f>
        <v>0</v>
      </c>
      <c r="F161" s="311">
        <f>'d3'!F161-'d3 до МВК'!F161</f>
        <v>0</v>
      </c>
      <c r="G161" s="311">
        <f>'d3'!G161-'d3 до МВК'!G161</f>
        <v>0</v>
      </c>
      <c r="H161" s="311">
        <f>'d3'!H161-'d3 до МВК'!H161</f>
        <v>0</v>
      </c>
      <c r="I161" s="311">
        <f>'d3'!I161-'d3 до МВК'!I161</f>
        <v>0</v>
      </c>
      <c r="J161" s="311">
        <f>'d3'!J161-'d3 до МВК'!J161</f>
        <v>0</v>
      </c>
      <c r="K161" s="311">
        <f>'d3'!K161-'d3 до МВК'!K161</f>
        <v>0</v>
      </c>
      <c r="L161" s="311">
        <f>'d3'!L161-'d3 до МВК'!L161</f>
        <v>0</v>
      </c>
      <c r="M161" s="311">
        <f>'d3'!M161-'d3 до МВК'!M161</f>
        <v>0</v>
      </c>
      <c r="N161" s="311">
        <f>'d3'!N161-'d3 до МВК'!N161</f>
        <v>0</v>
      </c>
      <c r="O161" s="311">
        <f>'d3'!O161-'d3 до МВК'!O161</f>
        <v>0</v>
      </c>
      <c r="P161" s="311">
        <f>'d3'!P161-'d3 до МВК'!P161</f>
        <v>0</v>
      </c>
    </row>
    <row r="162" spans="1:16" ht="91.5" x14ac:dyDescent="0.2">
      <c r="A162" s="454" t="s">
        <v>804</v>
      </c>
      <c r="B162" s="454" t="s">
        <v>71</v>
      </c>
      <c r="C162" s="454" t="s">
        <v>70</v>
      </c>
      <c r="D162" s="454" t="s">
        <v>348</v>
      </c>
      <c r="E162" s="311">
        <f>'d3'!E162-'d3 до МВК'!E162</f>
        <v>0</v>
      </c>
      <c r="F162" s="311">
        <f>'d3'!F162-'d3 до МВК'!F162</f>
        <v>0</v>
      </c>
      <c r="G162" s="311">
        <f>'d3'!G162-'d3 до МВК'!G162</f>
        <v>0</v>
      </c>
      <c r="H162" s="311">
        <f>'d3'!H162-'d3 до МВК'!H162</f>
        <v>0</v>
      </c>
      <c r="I162" s="311">
        <f>'d3'!I162-'d3 до МВК'!I162</f>
        <v>0</v>
      </c>
      <c r="J162" s="311">
        <f>'d3'!J162-'d3 до МВК'!J162</f>
        <v>0</v>
      </c>
      <c r="K162" s="311">
        <f>'d3'!K162-'d3 до МВК'!K162</f>
        <v>0</v>
      </c>
      <c r="L162" s="311">
        <f>'d3'!L162-'d3 до МВК'!L162</f>
        <v>0</v>
      </c>
      <c r="M162" s="311">
        <f>'d3'!M162-'d3 до МВК'!M162</f>
        <v>0</v>
      </c>
      <c r="N162" s="311">
        <f>'d3'!N162-'d3 до МВК'!N162</f>
        <v>0</v>
      </c>
      <c r="O162" s="311">
        <f>'d3'!O162-'d3 до МВК'!O162</f>
        <v>0</v>
      </c>
      <c r="P162" s="311">
        <f>'d3'!P162-'d3 до МВК'!P162</f>
        <v>0</v>
      </c>
    </row>
    <row r="163" spans="1:16" ht="320.25" x14ac:dyDescent="0.2">
      <c r="A163" s="454" t="s">
        <v>808</v>
      </c>
      <c r="B163" s="454" t="s">
        <v>810</v>
      </c>
      <c r="C163" s="454" t="s">
        <v>285</v>
      </c>
      <c r="D163" s="454" t="s">
        <v>809</v>
      </c>
      <c r="E163" s="311">
        <f>'d3'!E163-'d3 до МВК'!E163</f>
        <v>0</v>
      </c>
      <c r="F163" s="311">
        <f>'d3'!F163-'d3 до МВК'!F163</f>
        <v>0</v>
      </c>
      <c r="G163" s="311">
        <f>'d3'!G163-'d3 до МВК'!G163</f>
        <v>0</v>
      </c>
      <c r="H163" s="311">
        <f>'d3'!H163-'d3 до МВК'!H163</f>
        <v>0</v>
      </c>
      <c r="I163" s="311">
        <f>'d3'!I163-'d3 до МВК'!I163</f>
        <v>0</v>
      </c>
      <c r="J163" s="311">
        <f>'d3'!J163-'d3 до МВК'!J163</f>
        <v>0</v>
      </c>
      <c r="K163" s="311">
        <f>'d3'!K163-'d3 до МВК'!K163</f>
        <v>0</v>
      </c>
      <c r="L163" s="311">
        <f>'d3'!L163-'d3 до МВК'!L163</f>
        <v>0</v>
      </c>
      <c r="M163" s="311">
        <f>'d3'!M163-'d3 до МВК'!M163</f>
        <v>0</v>
      </c>
      <c r="N163" s="311">
        <f>'d3'!N163-'d3 до МВК'!N163</f>
        <v>0</v>
      </c>
      <c r="O163" s="311">
        <f>'d3'!O163-'d3 до МВК'!O163</f>
        <v>0</v>
      </c>
      <c r="P163" s="311">
        <f>'d3'!P163-'d3 до МВК'!P163</f>
        <v>0</v>
      </c>
    </row>
    <row r="164" spans="1:16" ht="91.5" x14ac:dyDescent="0.2">
      <c r="A164" s="454" t="s">
        <v>463</v>
      </c>
      <c r="B164" s="454" t="s">
        <v>464</v>
      </c>
      <c r="C164" s="454" t="s">
        <v>444</v>
      </c>
      <c r="D164" s="454" t="s">
        <v>462</v>
      </c>
      <c r="E164" s="311">
        <f>'d3'!E164-'d3 до МВК'!E164</f>
        <v>0</v>
      </c>
      <c r="F164" s="311">
        <f>'d3'!F164-'d3 до МВК'!F164</f>
        <v>0</v>
      </c>
      <c r="G164" s="311">
        <f>'d3'!G164-'d3 до МВК'!G164</f>
        <v>0</v>
      </c>
      <c r="H164" s="311">
        <f>'d3'!H164-'d3 до МВК'!H164</f>
        <v>0</v>
      </c>
      <c r="I164" s="311">
        <f>'d3'!I164-'d3 до МВК'!I164</f>
        <v>0</v>
      </c>
      <c r="J164" s="311">
        <f>'d3'!J164-'d3 до МВК'!J164</f>
        <v>0</v>
      </c>
      <c r="K164" s="311">
        <f>'d3'!K164-'d3 до МВК'!K164</f>
        <v>0</v>
      </c>
      <c r="L164" s="311">
        <f>'d3'!L164-'d3 до МВК'!L164</f>
        <v>0</v>
      </c>
      <c r="M164" s="311">
        <f>'d3'!M164-'d3 до МВК'!M164</f>
        <v>0</v>
      </c>
      <c r="N164" s="311">
        <f>'d3'!N164-'d3 до МВК'!N164</f>
        <v>0</v>
      </c>
      <c r="O164" s="311">
        <f>'d3'!O164-'d3 до МВК'!O164</f>
        <v>0</v>
      </c>
      <c r="P164" s="311">
        <f>'d3'!P164-'d3 до МВК'!P164</f>
        <v>0</v>
      </c>
    </row>
    <row r="165" spans="1:16" ht="137.25" x14ac:dyDescent="0.2">
      <c r="A165" s="454" t="s">
        <v>465</v>
      </c>
      <c r="B165" s="454" t="s">
        <v>466</v>
      </c>
      <c r="C165" s="454" t="s">
        <v>444</v>
      </c>
      <c r="D165" s="454" t="s">
        <v>467</v>
      </c>
      <c r="E165" s="311">
        <f>'d3'!E165-'d3 до МВК'!E165</f>
        <v>0</v>
      </c>
      <c r="F165" s="311">
        <f>'d3'!F165-'d3 до МВК'!F165</f>
        <v>0</v>
      </c>
      <c r="G165" s="311">
        <f>'d3'!G165-'d3 до МВК'!G165</f>
        <v>0</v>
      </c>
      <c r="H165" s="311">
        <f>'d3'!H165-'d3 до МВК'!H165</f>
        <v>0</v>
      </c>
      <c r="I165" s="311">
        <f>'d3'!I165-'d3 до МВК'!I165</f>
        <v>0</v>
      </c>
      <c r="J165" s="311">
        <f>'d3'!J165-'d3 до МВК'!J165</f>
        <v>0</v>
      </c>
      <c r="K165" s="311">
        <f>'d3'!K165-'d3 до МВК'!K165</f>
        <v>0</v>
      </c>
      <c r="L165" s="311">
        <f>'d3'!L165-'d3 до МВК'!L165</f>
        <v>0</v>
      </c>
      <c r="M165" s="311">
        <f>'d3'!M165-'d3 до МВК'!M165</f>
        <v>0</v>
      </c>
      <c r="N165" s="311">
        <f>'d3'!N165-'d3 до МВК'!N165</f>
        <v>0</v>
      </c>
      <c r="O165" s="311">
        <f>'d3'!O165-'d3 до МВК'!O165</f>
        <v>0</v>
      </c>
      <c r="P165" s="311">
        <f>'d3'!P165-'d3 до МВК'!P165</f>
        <v>0</v>
      </c>
    </row>
    <row r="166" spans="1:16" ht="91.5" x14ac:dyDescent="0.2">
      <c r="A166" s="454" t="s">
        <v>468</v>
      </c>
      <c r="B166" s="454" t="s">
        <v>469</v>
      </c>
      <c r="C166" s="454" t="s">
        <v>444</v>
      </c>
      <c r="D166" s="454" t="s">
        <v>815</v>
      </c>
      <c r="E166" s="311">
        <f>'d3'!E166-'d3 до МВК'!E166</f>
        <v>0</v>
      </c>
      <c r="F166" s="311">
        <f>'d3'!F166-'d3 до МВК'!F166</f>
        <v>0</v>
      </c>
      <c r="G166" s="311">
        <f>'d3'!G166-'d3 до МВК'!G166</f>
        <v>0</v>
      </c>
      <c r="H166" s="311">
        <f>'d3'!H166-'d3 до МВК'!H166</f>
        <v>0</v>
      </c>
      <c r="I166" s="311">
        <f>'d3'!I166-'d3 до МВК'!I166</f>
        <v>0</v>
      </c>
      <c r="J166" s="311">
        <f>'d3'!J166-'d3 до МВК'!J166</f>
        <v>0</v>
      </c>
      <c r="K166" s="311">
        <f>'d3'!K166-'d3 до МВК'!K166</f>
        <v>0</v>
      </c>
      <c r="L166" s="311">
        <f>'d3'!L166-'d3 до МВК'!L166</f>
        <v>0</v>
      </c>
      <c r="M166" s="311">
        <f>'d3'!M166-'d3 до МВК'!M166</f>
        <v>0</v>
      </c>
      <c r="N166" s="311">
        <f>'d3'!N166-'d3 до МВК'!N166</f>
        <v>0</v>
      </c>
      <c r="O166" s="311">
        <f>'d3'!O166-'d3 до МВК'!O166</f>
        <v>0</v>
      </c>
      <c r="P166" s="311">
        <f>'d3'!P166-'d3 до МВК'!P166</f>
        <v>0</v>
      </c>
    </row>
    <row r="167" spans="1:16" ht="137.25" x14ac:dyDescent="0.2">
      <c r="A167" s="454" t="s">
        <v>903</v>
      </c>
      <c r="B167" s="454" t="s">
        <v>559</v>
      </c>
      <c r="C167" s="454" t="s">
        <v>250</v>
      </c>
      <c r="D167" s="454" t="s">
        <v>392</v>
      </c>
      <c r="E167" s="311">
        <f>'d3'!E167-'d3 до МВК'!E167</f>
        <v>0</v>
      </c>
      <c r="F167" s="311">
        <f>'d3'!F167-'d3 до МВК'!F167</f>
        <v>0</v>
      </c>
      <c r="G167" s="311">
        <f>'d3'!G167-'d3 до МВК'!G167</f>
        <v>0</v>
      </c>
      <c r="H167" s="311">
        <f>'d3'!H167-'d3 до МВК'!H167</f>
        <v>0</v>
      </c>
      <c r="I167" s="311">
        <f>'d3'!I167-'d3 до МВК'!I167</f>
        <v>0</v>
      </c>
      <c r="J167" s="311">
        <f>'d3'!J167-'d3 до МВК'!J167</f>
        <v>0</v>
      </c>
      <c r="K167" s="311">
        <f>'d3'!K167-'d3 до МВК'!K167</f>
        <v>0</v>
      </c>
      <c r="L167" s="311">
        <f>'d3'!L167-'d3 до МВК'!L167</f>
        <v>0</v>
      </c>
      <c r="M167" s="311">
        <f>'d3'!M167-'d3 до МВК'!M167</f>
        <v>0</v>
      </c>
      <c r="N167" s="311">
        <f>'d3'!N167-'d3 до МВК'!N167</f>
        <v>0</v>
      </c>
      <c r="O167" s="311">
        <f>'d3'!O167-'d3 до МВК'!O167</f>
        <v>0</v>
      </c>
      <c r="P167" s="311">
        <f>'d3'!P167-'d3 до МВК'!P167</f>
        <v>0</v>
      </c>
    </row>
    <row r="168" spans="1:16" ht="270" x14ac:dyDescent="0.2">
      <c r="A168" s="327" t="s">
        <v>240</v>
      </c>
      <c r="B168" s="327"/>
      <c r="C168" s="327"/>
      <c r="D168" s="328" t="s">
        <v>46</v>
      </c>
      <c r="E168" s="329">
        <f>E169</f>
        <v>0</v>
      </c>
      <c r="F168" s="329">
        <f t="shared" ref="F168:G168" si="45">F169</f>
        <v>0</v>
      </c>
      <c r="G168" s="329">
        <f t="shared" si="45"/>
        <v>0</v>
      </c>
      <c r="H168" s="329">
        <f>H169</f>
        <v>0</v>
      </c>
      <c r="I168" s="329">
        <f t="shared" ref="I168" si="46">I169</f>
        <v>0</v>
      </c>
      <c r="J168" s="329">
        <f>J169</f>
        <v>0</v>
      </c>
      <c r="K168" s="329">
        <f>K169</f>
        <v>0</v>
      </c>
      <c r="L168" s="329">
        <f>L169</f>
        <v>0</v>
      </c>
      <c r="M168" s="329">
        <f t="shared" ref="M168" si="47">M169</f>
        <v>0</v>
      </c>
      <c r="N168" s="329">
        <f>N169</f>
        <v>0</v>
      </c>
      <c r="O168" s="329">
        <f>O169</f>
        <v>0</v>
      </c>
      <c r="P168" s="329">
        <f t="shared" ref="P168" si="48">P169</f>
        <v>0</v>
      </c>
    </row>
    <row r="169" spans="1:16" ht="270" x14ac:dyDescent="0.2">
      <c r="A169" s="324" t="s">
        <v>241</v>
      </c>
      <c r="B169" s="324"/>
      <c r="C169" s="324"/>
      <c r="D169" s="325" t="s">
        <v>64</v>
      </c>
      <c r="E169" s="326">
        <f>SUM(E170:E172)</f>
        <v>0</v>
      </c>
      <c r="F169" s="326">
        <f t="shared" ref="F169:O169" si="49">SUM(F170:F172)</f>
        <v>0</v>
      </c>
      <c r="G169" s="326">
        <f t="shared" si="49"/>
        <v>0</v>
      </c>
      <c r="H169" s="326">
        <f t="shared" si="49"/>
        <v>0</v>
      </c>
      <c r="I169" s="326">
        <f t="shared" si="49"/>
        <v>0</v>
      </c>
      <c r="J169" s="326">
        <f>L169+O169</f>
        <v>0</v>
      </c>
      <c r="K169" s="326">
        <f t="shared" si="49"/>
        <v>0</v>
      </c>
      <c r="L169" s="326">
        <f t="shared" si="49"/>
        <v>0</v>
      </c>
      <c r="M169" s="326">
        <f t="shared" si="49"/>
        <v>0</v>
      </c>
      <c r="N169" s="326">
        <f t="shared" si="49"/>
        <v>0</v>
      </c>
      <c r="O169" s="326">
        <f t="shared" si="49"/>
        <v>0</v>
      </c>
      <c r="P169" s="326">
        <f>E169+J169</f>
        <v>0</v>
      </c>
    </row>
    <row r="170" spans="1:16" ht="228.75" x14ac:dyDescent="0.2">
      <c r="A170" s="454" t="s">
        <v>715</v>
      </c>
      <c r="B170" s="454" t="s">
        <v>335</v>
      </c>
      <c r="C170" s="454" t="s">
        <v>333</v>
      </c>
      <c r="D170" s="454" t="s">
        <v>334</v>
      </c>
      <c r="E170" s="311">
        <f>'d3'!E170-'d3 до МВК'!E170</f>
        <v>0</v>
      </c>
      <c r="F170" s="311">
        <f>'d3'!F170-'d3 до МВК'!F170</f>
        <v>0</v>
      </c>
      <c r="G170" s="311">
        <f>'d3'!G170-'d3 до МВК'!G170</f>
        <v>0</v>
      </c>
      <c r="H170" s="311">
        <f>'d3'!H170-'d3 до МВК'!H170</f>
        <v>0</v>
      </c>
      <c r="I170" s="311">
        <f>'d3'!I170-'d3 до МВК'!I170</f>
        <v>0</v>
      </c>
      <c r="J170" s="311">
        <f>'d3'!J170-'d3 до МВК'!J170</f>
        <v>0</v>
      </c>
      <c r="K170" s="311">
        <f>'d3'!K170-'d3 до МВК'!K170</f>
        <v>0</v>
      </c>
      <c r="L170" s="311">
        <f>'d3'!L170-'d3 до МВК'!L170</f>
        <v>0</v>
      </c>
      <c r="M170" s="311">
        <f>'d3'!M170-'d3 до МВК'!M170</f>
        <v>0</v>
      </c>
      <c r="N170" s="311">
        <f>'d3'!N170-'d3 до МВК'!N170</f>
        <v>0</v>
      </c>
      <c r="O170" s="311">
        <f>'d3'!O170-'d3 до МВК'!O170</f>
        <v>0</v>
      </c>
      <c r="P170" s="311">
        <f>'d3'!P170-'d3 до МВК'!P170</f>
        <v>0</v>
      </c>
    </row>
    <row r="171" spans="1:16" ht="91.5" x14ac:dyDescent="0.2">
      <c r="A171" s="454" t="s">
        <v>946</v>
      </c>
      <c r="B171" s="454" t="s">
        <v>71</v>
      </c>
      <c r="C171" s="454" t="s">
        <v>70</v>
      </c>
      <c r="D171" s="454" t="s">
        <v>348</v>
      </c>
      <c r="E171" s="311">
        <f>'d3'!E171-'d3 до МВК'!E171</f>
        <v>0</v>
      </c>
      <c r="F171" s="311">
        <f>'d3'!F171-'d3 до МВК'!F171</f>
        <v>0</v>
      </c>
      <c r="G171" s="311">
        <f>'d3'!G171-'d3 до МВК'!G171</f>
        <v>0</v>
      </c>
      <c r="H171" s="311">
        <f>'d3'!H171-'d3 до МВК'!H171</f>
        <v>0</v>
      </c>
      <c r="I171" s="311">
        <f>'d3'!I171-'d3 до МВК'!I171</f>
        <v>0</v>
      </c>
      <c r="J171" s="311">
        <f>'d3'!J171-'d3 до МВК'!J171</f>
        <v>0</v>
      </c>
      <c r="K171" s="311">
        <f>'d3'!K171-'d3 до МВК'!K171</f>
        <v>0</v>
      </c>
      <c r="L171" s="311">
        <f>'d3'!L171-'d3 до МВК'!L171</f>
        <v>0</v>
      </c>
      <c r="M171" s="311">
        <f>'d3'!M171-'d3 до МВК'!M171</f>
        <v>0</v>
      </c>
      <c r="N171" s="311">
        <f>'d3'!N171-'d3 до МВК'!N171</f>
        <v>0</v>
      </c>
      <c r="O171" s="311">
        <f>'d3'!O171-'d3 до МВК'!O171</f>
        <v>0</v>
      </c>
      <c r="P171" s="311">
        <f>'d3'!P171-'d3 до МВК'!P171</f>
        <v>0</v>
      </c>
    </row>
    <row r="172" spans="1:16" ht="137.25" x14ac:dyDescent="0.2">
      <c r="A172" s="454" t="s">
        <v>454</v>
      </c>
      <c r="B172" s="454" t="s">
        <v>455</v>
      </c>
      <c r="C172" s="454" t="s">
        <v>444</v>
      </c>
      <c r="D172" s="454" t="s">
        <v>456</v>
      </c>
      <c r="E172" s="311">
        <f>'d3'!E172-'d3 до МВК'!E172</f>
        <v>0</v>
      </c>
      <c r="F172" s="311">
        <f>'d3'!F172-'d3 до МВК'!F172</f>
        <v>0</v>
      </c>
      <c r="G172" s="311">
        <f>'d3'!G172-'d3 до МВК'!G172</f>
        <v>0</v>
      </c>
      <c r="H172" s="311">
        <f>'d3'!H172-'d3 до МВК'!H172</f>
        <v>0</v>
      </c>
      <c r="I172" s="311">
        <f>'d3'!I172-'d3 до МВК'!I172</f>
        <v>0</v>
      </c>
      <c r="J172" s="311">
        <f>'d3'!J172-'d3 до МВК'!J172</f>
        <v>0</v>
      </c>
      <c r="K172" s="311">
        <f>'d3'!K172-'d3 до МВК'!K172</f>
        <v>0</v>
      </c>
      <c r="L172" s="311">
        <f>'d3'!L172-'d3 до МВК'!L172</f>
        <v>0</v>
      </c>
      <c r="M172" s="311">
        <f>'d3'!M172-'d3 до МВК'!M172</f>
        <v>0</v>
      </c>
      <c r="N172" s="311">
        <f>'d3'!N172-'d3 до МВК'!N172</f>
        <v>0</v>
      </c>
      <c r="O172" s="311">
        <f>'d3'!O172-'d3 до МВК'!O172</f>
        <v>0</v>
      </c>
      <c r="P172" s="311">
        <f>'d3'!P172-'d3 до МВК'!P172</f>
        <v>0</v>
      </c>
    </row>
    <row r="173" spans="1:16" ht="135" x14ac:dyDescent="0.2">
      <c r="A173" s="327" t="s">
        <v>246</v>
      </c>
      <c r="B173" s="327"/>
      <c r="C173" s="327"/>
      <c r="D173" s="328" t="s">
        <v>563</v>
      </c>
      <c r="E173" s="329">
        <f>E174</f>
        <v>0</v>
      </c>
      <c r="F173" s="329">
        <f t="shared" ref="F173:G173" si="50">F174</f>
        <v>0</v>
      </c>
      <c r="G173" s="329">
        <f t="shared" si="50"/>
        <v>0</v>
      </c>
      <c r="H173" s="329">
        <f>H174</f>
        <v>0</v>
      </c>
      <c r="I173" s="329">
        <f t="shared" ref="I173" si="51">I174</f>
        <v>0</v>
      </c>
      <c r="J173" s="329">
        <f>J174</f>
        <v>0</v>
      </c>
      <c r="K173" s="329">
        <f>K174</f>
        <v>0</v>
      </c>
      <c r="L173" s="329">
        <f>L174</f>
        <v>0</v>
      </c>
      <c r="M173" s="329">
        <f t="shared" ref="M173" si="52">M174</f>
        <v>0</v>
      </c>
      <c r="N173" s="329">
        <f>N174</f>
        <v>0</v>
      </c>
      <c r="O173" s="329">
        <f>O174</f>
        <v>0</v>
      </c>
      <c r="P173" s="329">
        <f t="shared" ref="P173" si="53">P174</f>
        <v>0</v>
      </c>
    </row>
    <row r="174" spans="1:16" ht="135" x14ac:dyDescent="0.2">
      <c r="A174" s="324" t="s">
        <v>247</v>
      </c>
      <c r="B174" s="324"/>
      <c r="C174" s="324"/>
      <c r="D174" s="325" t="s">
        <v>564</v>
      </c>
      <c r="E174" s="326">
        <f>SUM(E175:E179)</f>
        <v>0</v>
      </c>
      <c r="F174" s="326">
        <f t="shared" ref="F174:O174" si="54">SUM(F175:F179)</f>
        <v>0</v>
      </c>
      <c r="G174" s="326">
        <f t="shared" si="54"/>
        <v>0</v>
      </c>
      <c r="H174" s="326">
        <f t="shared" si="54"/>
        <v>0</v>
      </c>
      <c r="I174" s="326">
        <f t="shared" si="54"/>
        <v>0</v>
      </c>
      <c r="J174" s="326">
        <f t="shared" ref="J174:J175" si="55">L174+O174</f>
        <v>0</v>
      </c>
      <c r="K174" s="326">
        <f t="shared" si="54"/>
        <v>0</v>
      </c>
      <c r="L174" s="326">
        <f t="shared" si="54"/>
        <v>0</v>
      </c>
      <c r="M174" s="326">
        <f t="shared" si="54"/>
        <v>0</v>
      </c>
      <c r="N174" s="326">
        <f t="shared" si="54"/>
        <v>0</v>
      </c>
      <c r="O174" s="326">
        <f t="shared" si="54"/>
        <v>0</v>
      </c>
      <c r="P174" s="326">
        <f t="shared" ref="P174:P175" si="56">E174+J174</f>
        <v>0</v>
      </c>
    </row>
    <row r="175" spans="1:16" ht="137.25" hidden="1" x14ac:dyDescent="0.2">
      <c r="A175" s="251" t="s">
        <v>558</v>
      </c>
      <c r="B175" s="251" t="s">
        <v>559</v>
      </c>
      <c r="C175" s="251" t="s">
        <v>250</v>
      </c>
      <c r="D175" s="251" t="s">
        <v>392</v>
      </c>
      <c r="E175" s="318">
        <f>F175</f>
        <v>0</v>
      </c>
      <c r="F175" s="316"/>
      <c r="G175" s="316"/>
      <c r="H175" s="316"/>
      <c r="I175" s="316"/>
      <c r="J175" s="318">
        <f t="shared" si="55"/>
        <v>0</v>
      </c>
      <c r="K175" s="316">
        <f>(2000000)-2000000</f>
        <v>0</v>
      </c>
      <c r="L175" s="316"/>
      <c r="M175" s="316"/>
      <c r="N175" s="316"/>
      <c r="O175" s="323">
        <f>K175</f>
        <v>0</v>
      </c>
      <c r="P175" s="318">
        <f t="shared" si="56"/>
        <v>0</v>
      </c>
    </row>
    <row r="176" spans="1:16" ht="91.5" x14ac:dyDescent="0.2">
      <c r="A176" s="454" t="s">
        <v>390</v>
      </c>
      <c r="B176" s="454" t="s">
        <v>391</v>
      </c>
      <c r="C176" s="454" t="s">
        <v>389</v>
      </c>
      <c r="D176" s="454" t="s">
        <v>388</v>
      </c>
      <c r="E176" s="311">
        <f>'d3'!E176-'d3 до МВК'!E176</f>
        <v>0</v>
      </c>
      <c r="F176" s="311">
        <f>'d3'!F176-'d3 до МВК'!F176</f>
        <v>0</v>
      </c>
      <c r="G176" s="311">
        <f>'d3'!G176-'d3 до МВК'!G176</f>
        <v>0</v>
      </c>
      <c r="H176" s="311">
        <f>'d3'!H176-'d3 до МВК'!H176</f>
        <v>0</v>
      </c>
      <c r="I176" s="311">
        <f>'d3'!I176-'d3 до МВК'!I176</f>
        <v>0</v>
      </c>
      <c r="J176" s="311">
        <f>'d3'!J176-'d3 до МВК'!J176</f>
        <v>0</v>
      </c>
      <c r="K176" s="311">
        <f>'d3'!K176-'d3 до МВК'!K176</f>
        <v>0</v>
      </c>
      <c r="L176" s="311">
        <f>'d3'!L176-'d3 до МВК'!L176</f>
        <v>0</v>
      </c>
      <c r="M176" s="311">
        <f>'d3'!M176-'d3 до МВК'!M176</f>
        <v>0</v>
      </c>
      <c r="N176" s="311">
        <f>'d3'!N176-'d3 до МВК'!N176</f>
        <v>0</v>
      </c>
      <c r="O176" s="311">
        <f>'d3'!O176-'d3 до МВК'!O176</f>
        <v>0</v>
      </c>
      <c r="P176" s="311">
        <f>'d3'!P176-'d3 до МВК'!P176</f>
        <v>0</v>
      </c>
    </row>
    <row r="177" spans="1:16" ht="137.25" x14ac:dyDescent="0.2">
      <c r="A177" s="454" t="s">
        <v>382</v>
      </c>
      <c r="B177" s="454" t="s">
        <v>384</v>
      </c>
      <c r="C177" s="454" t="s">
        <v>312</v>
      </c>
      <c r="D177" s="454" t="s">
        <v>383</v>
      </c>
      <c r="E177" s="311">
        <f>'d3'!E177-'d3 до МВК'!E177</f>
        <v>0</v>
      </c>
      <c r="F177" s="311">
        <f>'d3'!F177-'d3 до МВК'!F177</f>
        <v>0</v>
      </c>
      <c r="G177" s="311">
        <f>'d3'!G177-'d3 до МВК'!G177</f>
        <v>0</v>
      </c>
      <c r="H177" s="311">
        <f>'d3'!H177-'d3 до МВК'!H177</f>
        <v>0</v>
      </c>
      <c r="I177" s="311">
        <f>'d3'!I177-'d3 до МВК'!I177</f>
        <v>0</v>
      </c>
      <c r="J177" s="311">
        <f>'d3'!J177-'d3 до МВК'!J177</f>
        <v>0</v>
      </c>
      <c r="K177" s="311">
        <f>'d3'!K177-'d3 до МВК'!K177</f>
        <v>0</v>
      </c>
      <c r="L177" s="311">
        <f>'d3'!L177-'d3 до МВК'!L177</f>
        <v>0</v>
      </c>
      <c r="M177" s="311">
        <f>'d3'!M177-'d3 до МВК'!M177</f>
        <v>0</v>
      </c>
      <c r="N177" s="311">
        <f>'d3'!N177-'d3 до МВК'!N177</f>
        <v>0</v>
      </c>
      <c r="O177" s="311">
        <f>'d3'!O177-'d3 до МВК'!O177</f>
        <v>0</v>
      </c>
      <c r="P177" s="311">
        <f>'d3'!P177-'d3 до МВК'!P177</f>
        <v>0</v>
      </c>
    </row>
    <row r="178" spans="1:16" ht="91.5" x14ac:dyDescent="0.2">
      <c r="A178" s="454" t="s">
        <v>386</v>
      </c>
      <c r="B178" s="454" t="s">
        <v>387</v>
      </c>
      <c r="C178" s="454" t="s">
        <v>250</v>
      </c>
      <c r="D178" s="454" t="s">
        <v>385</v>
      </c>
      <c r="E178" s="311">
        <f>'d3'!E178-'d3 до МВК'!E178</f>
        <v>0</v>
      </c>
      <c r="F178" s="311">
        <f>'d3'!F178-'d3 до МВК'!F178</f>
        <v>0</v>
      </c>
      <c r="G178" s="311">
        <f>'d3'!G178-'d3 до МВК'!G178</f>
        <v>0</v>
      </c>
      <c r="H178" s="311">
        <f>'d3'!H178-'d3 до МВК'!H178</f>
        <v>0</v>
      </c>
      <c r="I178" s="311">
        <f>'d3'!I178-'d3 до МВК'!I178</f>
        <v>0</v>
      </c>
      <c r="J178" s="311">
        <f>'d3'!J178-'d3 до МВК'!J178</f>
        <v>0</v>
      </c>
      <c r="K178" s="311">
        <f>'d3'!K178-'d3 до МВК'!K178</f>
        <v>0</v>
      </c>
      <c r="L178" s="311">
        <f>'d3'!L178-'d3 до МВК'!L178</f>
        <v>0</v>
      </c>
      <c r="M178" s="311">
        <f>'d3'!M178-'d3 до МВК'!M178</f>
        <v>0</v>
      </c>
      <c r="N178" s="311">
        <f>'d3'!N178-'d3 до МВК'!N178</f>
        <v>0</v>
      </c>
      <c r="O178" s="311">
        <f>'d3'!O178-'d3 до МВК'!O178</f>
        <v>0</v>
      </c>
      <c r="P178" s="311">
        <f>'d3'!P178-'d3 до МВК'!P178</f>
        <v>0</v>
      </c>
    </row>
    <row r="179" spans="1:16" ht="91.5" x14ac:dyDescent="0.2">
      <c r="A179" s="454" t="s">
        <v>886</v>
      </c>
      <c r="B179" s="454" t="s">
        <v>587</v>
      </c>
      <c r="C179" s="454" t="s">
        <v>71</v>
      </c>
      <c r="D179" s="454" t="s">
        <v>588</v>
      </c>
      <c r="E179" s="311">
        <f>'d3'!E179-'d3 до МВК'!E179</f>
        <v>0</v>
      </c>
      <c r="F179" s="311">
        <f>'d3'!F179-'d3 до МВК'!F179</f>
        <v>0</v>
      </c>
      <c r="G179" s="311">
        <f>'d3'!G179-'d3 до МВК'!G179</f>
        <v>0</v>
      </c>
      <c r="H179" s="311">
        <f>'d3'!H179-'d3 до МВК'!H179</f>
        <v>0</v>
      </c>
      <c r="I179" s="311">
        <f>'d3'!I179-'d3 до МВК'!I179</f>
        <v>0</v>
      </c>
      <c r="J179" s="311">
        <f>'d3'!J179-'d3 до МВК'!J179</f>
        <v>0</v>
      </c>
      <c r="K179" s="311">
        <f>'d3'!K179-'d3 до МВК'!K179</f>
        <v>0</v>
      </c>
      <c r="L179" s="311">
        <f>'d3'!L179-'d3 до МВК'!L179</f>
        <v>0</v>
      </c>
      <c r="M179" s="311">
        <f>'d3'!M179-'d3 до МВК'!M179</f>
        <v>0</v>
      </c>
      <c r="N179" s="311">
        <f>'d3'!N179-'d3 до МВК'!N179</f>
        <v>0</v>
      </c>
      <c r="O179" s="311">
        <f>'d3'!O179-'d3 до МВК'!O179</f>
        <v>0</v>
      </c>
      <c r="P179" s="311">
        <f>'d3'!P179-'d3 до МВК'!P179</f>
        <v>0</v>
      </c>
    </row>
    <row r="180" spans="1:16" ht="180" x14ac:dyDescent="0.2">
      <c r="A180" s="327" t="s">
        <v>244</v>
      </c>
      <c r="B180" s="327"/>
      <c r="C180" s="327"/>
      <c r="D180" s="328" t="s">
        <v>47</v>
      </c>
      <c r="E180" s="329">
        <f>E181</f>
        <v>0</v>
      </c>
      <c r="F180" s="329">
        <f t="shared" ref="F180:G180" si="57">F181</f>
        <v>0</v>
      </c>
      <c r="G180" s="329">
        <f t="shared" si="57"/>
        <v>0</v>
      </c>
      <c r="H180" s="329">
        <f>H181</f>
        <v>0</v>
      </c>
      <c r="I180" s="329">
        <f t="shared" ref="I180" si="58">I181</f>
        <v>0</v>
      </c>
      <c r="J180" s="329">
        <f>J181</f>
        <v>0</v>
      </c>
      <c r="K180" s="329">
        <f>K181</f>
        <v>0</v>
      </c>
      <c r="L180" s="329">
        <f>L181</f>
        <v>0</v>
      </c>
      <c r="M180" s="329">
        <f t="shared" ref="M180" si="59">M181</f>
        <v>0</v>
      </c>
      <c r="N180" s="329">
        <f>N181</f>
        <v>0</v>
      </c>
      <c r="O180" s="329">
        <f>O181</f>
        <v>0</v>
      </c>
      <c r="P180" s="329">
        <f t="shared" ref="P180" si="60">P181</f>
        <v>0</v>
      </c>
    </row>
    <row r="181" spans="1:16" ht="180" x14ac:dyDescent="0.2">
      <c r="A181" s="324" t="s">
        <v>245</v>
      </c>
      <c r="B181" s="324"/>
      <c r="C181" s="324"/>
      <c r="D181" s="325" t="s">
        <v>65</v>
      </c>
      <c r="E181" s="326">
        <f t="shared" ref="E181:N181" si="61">SUM(E182:E186)</f>
        <v>0</v>
      </c>
      <c r="F181" s="326">
        <f t="shared" si="61"/>
        <v>0</v>
      </c>
      <c r="G181" s="326">
        <f t="shared" si="61"/>
        <v>0</v>
      </c>
      <c r="H181" s="326">
        <f t="shared" si="61"/>
        <v>0</v>
      </c>
      <c r="I181" s="326">
        <f t="shared" si="61"/>
        <v>0</v>
      </c>
      <c r="J181" s="326">
        <f t="shared" ref="J181" si="62">L181+O181</f>
        <v>0</v>
      </c>
      <c r="K181" s="326">
        <f t="shared" si="61"/>
        <v>0</v>
      </c>
      <c r="L181" s="326">
        <f t="shared" si="61"/>
        <v>0</v>
      </c>
      <c r="M181" s="326">
        <f t="shared" si="61"/>
        <v>0</v>
      </c>
      <c r="N181" s="326">
        <f t="shared" si="61"/>
        <v>0</v>
      </c>
      <c r="O181" s="326">
        <f>SUM(O182:O186)</f>
        <v>0</v>
      </c>
      <c r="P181" s="326">
        <f t="shared" ref="P181" si="63">E181+J181</f>
        <v>0</v>
      </c>
    </row>
    <row r="182" spans="1:16" ht="228.75" x14ac:dyDescent="0.2">
      <c r="A182" s="454" t="s">
        <v>718</v>
      </c>
      <c r="B182" s="454" t="s">
        <v>335</v>
      </c>
      <c r="C182" s="454" t="s">
        <v>333</v>
      </c>
      <c r="D182" s="454" t="s">
        <v>334</v>
      </c>
      <c r="E182" s="311">
        <f>'d3'!E182-'d3 до МВК'!E182</f>
        <v>0</v>
      </c>
      <c r="F182" s="311">
        <f>'d3'!F182-'d3 до МВК'!F182</f>
        <v>0</v>
      </c>
      <c r="G182" s="311">
        <f>'d3'!G182-'d3 до МВК'!G182</f>
        <v>0</v>
      </c>
      <c r="H182" s="311">
        <f>'d3'!H182-'d3 до МВК'!H182</f>
        <v>0</v>
      </c>
      <c r="I182" s="311">
        <f>'d3'!I182-'d3 до МВК'!I182</f>
        <v>0</v>
      </c>
      <c r="J182" s="311">
        <f>'d3'!J182-'d3 до МВК'!J182</f>
        <v>0</v>
      </c>
      <c r="K182" s="311">
        <f>'d3'!K182-'d3 до МВК'!K182</f>
        <v>0</v>
      </c>
      <c r="L182" s="311">
        <f>'d3'!L182-'d3 до МВК'!L182</f>
        <v>0</v>
      </c>
      <c r="M182" s="311">
        <f>'d3'!M182-'d3 до МВК'!M182</f>
        <v>0</v>
      </c>
      <c r="N182" s="311">
        <f>'d3'!N182-'d3 до МВК'!N182</f>
        <v>0</v>
      </c>
      <c r="O182" s="311">
        <f>'d3'!O182-'d3 до МВК'!O182</f>
        <v>0</v>
      </c>
      <c r="P182" s="311">
        <f>'d3'!P182-'d3 до МВК'!P182</f>
        <v>0</v>
      </c>
    </row>
    <row r="183" spans="1:16" ht="137.25" x14ac:dyDescent="0.2">
      <c r="A183" s="454" t="s">
        <v>457</v>
      </c>
      <c r="B183" s="454" t="s">
        <v>458</v>
      </c>
      <c r="C183" s="454" t="s">
        <v>81</v>
      </c>
      <c r="D183" s="454" t="s">
        <v>82</v>
      </c>
      <c r="E183" s="311">
        <f>'d3'!E183-'d3 до МВК'!E183</f>
        <v>0</v>
      </c>
      <c r="F183" s="311">
        <f>'d3'!F183-'d3 до МВК'!F183</f>
        <v>0</v>
      </c>
      <c r="G183" s="311">
        <f>'d3'!G183-'d3 до МВК'!G183</f>
        <v>0</v>
      </c>
      <c r="H183" s="311">
        <f>'d3'!H183-'d3 до МВК'!H183</f>
        <v>0</v>
      </c>
      <c r="I183" s="311">
        <f>'d3'!I183-'d3 до МВК'!I183</f>
        <v>0</v>
      </c>
      <c r="J183" s="311">
        <f>'d3'!J183-'d3 до МВК'!J183</f>
        <v>0</v>
      </c>
      <c r="K183" s="311">
        <f>'d3'!K183-'d3 до МВК'!K183</f>
        <v>0</v>
      </c>
      <c r="L183" s="311">
        <f>'d3'!L183-'d3 до МВК'!L183</f>
        <v>0</v>
      </c>
      <c r="M183" s="311">
        <f>'d3'!M183-'d3 до МВК'!M183</f>
        <v>0</v>
      </c>
      <c r="N183" s="311">
        <f>'d3'!N183-'d3 до МВК'!N183</f>
        <v>0</v>
      </c>
      <c r="O183" s="311">
        <f>'d3'!O183-'d3 до МВК'!O183</f>
        <v>0</v>
      </c>
      <c r="P183" s="311">
        <f>'d3'!P183-'d3 до МВК'!P183</f>
        <v>0</v>
      </c>
    </row>
    <row r="184" spans="1:16" ht="70.5" customHeight="1" x14ac:dyDescent="0.2">
      <c r="A184" s="382" t="s">
        <v>994</v>
      </c>
      <c r="B184" s="382" t="s">
        <v>995</v>
      </c>
      <c r="C184" s="383" t="s">
        <v>996</v>
      </c>
      <c r="D184" s="454" t="s">
        <v>998</v>
      </c>
      <c r="E184" s="311">
        <f>'d3'!E184-'d3 до МВК'!E184</f>
        <v>0</v>
      </c>
      <c r="F184" s="311">
        <f>'d3'!F184-'d3 до МВК'!F184</f>
        <v>0</v>
      </c>
      <c r="G184" s="311">
        <f>'d3'!G184-'d3 до МВК'!G184</f>
        <v>0</v>
      </c>
      <c r="H184" s="311">
        <f>'d3'!H184-'d3 до МВК'!H184</f>
        <v>0</v>
      </c>
      <c r="I184" s="311">
        <f>'d3'!I184-'d3 до МВК'!I184</f>
        <v>0</v>
      </c>
      <c r="J184" s="311">
        <f>'d3'!J184-'d3 до МВК'!J184</f>
        <v>0</v>
      </c>
      <c r="K184" s="311">
        <f>'d3'!K184-'d3 до МВК'!K184</f>
        <v>0</v>
      </c>
      <c r="L184" s="311">
        <f>'d3'!L184-'d3 до МВК'!L184</f>
        <v>0</v>
      </c>
      <c r="M184" s="311">
        <f>'d3'!M184-'d3 до МВК'!M184</f>
        <v>0</v>
      </c>
      <c r="N184" s="311">
        <f>'d3'!N184-'d3 до МВК'!N184</f>
        <v>0</v>
      </c>
      <c r="O184" s="311">
        <f>'d3'!O184-'d3 до МВК'!O184</f>
        <v>0</v>
      </c>
      <c r="P184" s="311">
        <f>'d3'!P184-'d3 до МВК'!P184</f>
        <v>0</v>
      </c>
    </row>
    <row r="185" spans="1:16" ht="91.5" x14ac:dyDescent="0.2">
      <c r="A185" s="454" t="s">
        <v>794</v>
      </c>
      <c r="B185" s="454" t="s">
        <v>795</v>
      </c>
      <c r="C185" s="454" t="s">
        <v>817</v>
      </c>
      <c r="D185" s="454" t="s">
        <v>816</v>
      </c>
      <c r="E185" s="311">
        <f>'d3'!E185-'d3 до МВК'!E185</f>
        <v>0</v>
      </c>
      <c r="F185" s="311">
        <f>'d3'!F185-'d3 до МВК'!F185</f>
        <v>0</v>
      </c>
      <c r="G185" s="311">
        <f>'d3'!G185-'d3 до МВК'!G185</f>
        <v>0</v>
      </c>
      <c r="H185" s="311">
        <f>'d3'!H185-'d3 до МВК'!H185</f>
        <v>0</v>
      </c>
      <c r="I185" s="311">
        <f>'d3'!I185-'d3 до МВК'!I185</f>
        <v>0</v>
      </c>
      <c r="J185" s="311">
        <f>'d3'!J185-'d3 до МВК'!J185</f>
        <v>0</v>
      </c>
      <c r="K185" s="311">
        <f>'d3'!K185-'d3 до МВК'!K185</f>
        <v>0</v>
      </c>
      <c r="L185" s="311">
        <f>'d3'!L185-'d3 до МВК'!L185</f>
        <v>0</v>
      </c>
      <c r="M185" s="311">
        <f>'d3'!M185-'d3 до МВК'!M185</f>
        <v>0</v>
      </c>
      <c r="N185" s="311">
        <f>'d3'!N185-'d3 до МВК'!N185</f>
        <v>0</v>
      </c>
      <c r="O185" s="311">
        <f>'d3'!O185-'d3 до МВК'!O185</f>
        <v>0</v>
      </c>
      <c r="P185" s="311">
        <f>'d3'!P185-'d3 до МВК'!P185</f>
        <v>0</v>
      </c>
    </row>
    <row r="186" spans="1:16" ht="91.5" x14ac:dyDescent="0.2">
      <c r="A186" s="454" t="s">
        <v>459</v>
      </c>
      <c r="B186" s="454" t="s">
        <v>460</v>
      </c>
      <c r="C186" s="454" t="s">
        <v>83</v>
      </c>
      <c r="D186" s="454" t="s">
        <v>461</v>
      </c>
      <c r="E186" s="311">
        <f>'d3'!E186-'d3 до МВК'!E186</f>
        <v>0</v>
      </c>
      <c r="F186" s="311">
        <f>'d3'!F186-'d3 до МВК'!F186</f>
        <v>0</v>
      </c>
      <c r="G186" s="311">
        <f>'d3'!G186-'d3 до МВК'!G186</f>
        <v>0</v>
      </c>
      <c r="H186" s="311">
        <f>'d3'!H186-'d3 до МВК'!H186</f>
        <v>0</v>
      </c>
      <c r="I186" s="311">
        <f>'d3'!I186-'d3 до МВК'!I186</f>
        <v>0</v>
      </c>
      <c r="J186" s="311">
        <f>'d3'!J186-'d3 до МВК'!J186</f>
        <v>0</v>
      </c>
      <c r="K186" s="311">
        <f>'d3'!K186-'d3 до МВК'!K186</f>
        <v>0</v>
      </c>
      <c r="L186" s="311">
        <f>'d3'!L186-'d3 до МВК'!L186</f>
        <v>0</v>
      </c>
      <c r="M186" s="311">
        <f>'d3'!M186-'d3 до МВК'!M186</f>
        <v>0</v>
      </c>
      <c r="N186" s="311">
        <f>'d3'!N186-'d3 до МВК'!N186</f>
        <v>0</v>
      </c>
      <c r="O186" s="311">
        <f>'d3'!O186-'d3 до МВК'!O186</f>
        <v>0</v>
      </c>
      <c r="P186" s="311">
        <f>'d3'!P186-'d3 до МВК'!P186</f>
        <v>0</v>
      </c>
    </row>
    <row r="187" spans="1:16" ht="315" x14ac:dyDescent="0.2">
      <c r="A187" s="327" t="s">
        <v>242</v>
      </c>
      <c r="B187" s="327"/>
      <c r="C187" s="327"/>
      <c r="D187" s="328" t="s">
        <v>565</v>
      </c>
      <c r="E187" s="329">
        <f>E188</f>
        <v>0</v>
      </c>
      <c r="F187" s="329">
        <f t="shared" ref="F187:G187" si="64">F188</f>
        <v>0</v>
      </c>
      <c r="G187" s="329">
        <f t="shared" si="64"/>
        <v>0</v>
      </c>
      <c r="H187" s="329">
        <f>H188</f>
        <v>0</v>
      </c>
      <c r="I187" s="329">
        <f t="shared" ref="I187" si="65">I188</f>
        <v>0</v>
      </c>
      <c r="J187" s="329">
        <f>J188</f>
        <v>0</v>
      </c>
      <c r="K187" s="329">
        <f>K188</f>
        <v>0</v>
      </c>
      <c r="L187" s="329">
        <f>L188</f>
        <v>0</v>
      </c>
      <c r="M187" s="329">
        <f t="shared" ref="M187" si="66">M188</f>
        <v>0</v>
      </c>
      <c r="N187" s="329">
        <f>N188</f>
        <v>0</v>
      </c>
      <c r="O187" s="329">
        <f>O188</f>
        <v>0</v>
      </c>
      <c r="P187" s="329">
        <f t="shared" ref="P187" si="67">P188</f>
        <v>0</v>
      </c>
    </row>
    <row r="188" spans="1:16" ht="315" x14ac:dyDescent="0.2">
      <c r="A188" s="324" t="s">
        <v>243</v>
      </c>
      <c r="B188" s="324"/>
      <c r="C188" s="324"/>
      <c r="D188" s="325" t="s">
        <v>566</v>
      </c>
      <c r="E188" s="326">
        <f>SUM(E189:E191)</f>
        <v>0</v>
      </c>
      <c r="F188" s="326">
        <f t="shared" ref="F188:N188" si="68">SUM(F189:F191)</f>
        <v>0</v>
      </c>
      <c r="G188" s="326">
        <f t="shared" si="68"/>
        <v>0</v>
      </c>
      <c r="H188" s="326">
        <f t="shared" si="68"/>
        <v>0</v>
      </c>
      <c r="I188" s="326">
        <f t="shared" si="68"/>
        <v>0</v>
      </c>
      <c r="J188" s="326">
        <f>L188+O188</f>
        <v>0</v>
      </c>
      <c r="K188" s="326">
        <f t="shared" si="68"/>
        <v>0</v>
      </c>
      <c r="L188" s="326">
        <f t="shared" si="68"/>
        <v>0</v>
      </c>
      <c r="M188" s="326">
        <f t="shared" si="68"/>
        <v>0</v>
      </c>
      <c r="N188" s="326">
        <f t="shared" si="68"/>
        <v>0</v>
      </c>
      <c r="O188" s="326">
        <f>SUM(O189:O191)</f>
        <v>0</v>
      </c>
      <c r="P188" s="326">
        <f>E188+J188</f>
        <v>0</v>
      </c>
    </row>
    <row r="189" spans="1:16" ht="228.75" x14ac:dyDescent="0.2">
      <c r="A189" s="454" t="s">
        <v>714</v>
      </c>
      <c r="B189" s="454" t="s">
        <v>335</v>
      </c>
      <c r="C189" s="454" t="s">
        <v>333</v>
      </c>
      <c r="D189" s="454" t="s">
        <v>334</v>
      </c>
      <c r="E189" s="311">
        <f>'d3'!E189-'d3 до МВК'!E189</f>
        <v>0</v>
      </c>
      <c r="F189" s="311">
        <f>'d3'!F189-'d3 до МВК'!F189</f>
        <v>0</v>
      </c>
      <c r="G189" s="311">
        <f>'d3'!G189-'d3 до МВК'!G189</f>
        <v>0</v>
      </c>
      <c r="H189" s="311">
        <f>'d3'!H189-'d3 до МВК'!H189</f>
        <v>0</v>
      </c>
      <c r="I189" s="311">
        <f>'d3'!I189-'d3 до МВК'!I189</f>
        <v>0</v>
      </c>
      <c r="J189" s="311">
        <f>'d3'!J189-'d3 до МВК'!J189</f>
        <v>0</v>
      </c>
      <c r="K189" s="311">
        <f>'d3'!K189-'d3 до МВК'!K189</f>
        <v>0</v>
      </c>
      <c r="L189" s="311">
        <f>'d3'!L189-'d3 до МВК'!L189</f>
        <v>0</v>
      </c>
      <c r="M189" s="311">
        <f>'d3'!M189-'d3 до МВК'!M189</f>
        <v>0</v>
      </c>
      <c r="N189" s="311">
        <f>'d3'!N189-'d3 до МВК'!N189</f>
        <v>0</v>
      </c>
      <c r="O189" s="311">
        <f>'d3'!O189-'d3 до МВК'!O189</f>
        <v>0</v>
      </c>
      <c r="P189" s="311">
        <f>'d3'!P189-'d3 до МВК'!P189</f>
        <v>0</v>
      </c>
    </row>
    <row r="190" spans="1:16" ht="91.5" x14ac:dyDescent="0.2">
      <c r="A190" s="454" t="s">
        <v>451</v>
      </c>
      <c r="B190" s="454" t="s">
        <v>452</v>
      </c>
      <c r="C190" s="454" t="s">
        <v>453</v>
      </c>
      <c r="D190" s="454" t="s">
        <v>450</v>
      </c>
      <c r="E190" s="311">
        <f>'d3'!E190-'d3 до МВК'!E190</f>
        <v>0</v>
      </c>
      <c r="F190" s="311">
        <f>'d3'!F190-'d3 до МВК'!F190</f>
        <v>0</v>
      </c>
      <c r="G190" s="311">
        <f>'d3'!G190-'d3 до МВК'!G190</f>
        <v>0</v>
      </c>
      <c r="H190" s="311">
        <f>'d3'!H190-'d3 до МВК'!H190</f>
        <v>0</v>
      </c>
      <c r="I190" s="311">
        <f>'d3'!I190-'d3 до МВК'!I190</f>
        <v>0</v>
      </c>
      <c r="J190" s="311">
        <f>'d3'!J190-'d3 до МВК'!J190</f>
        <v>0</v>
      </c>
      <c r="K190" s="311">
        <f>'d3'!K190-'d3 до МВК'!K190</f>
        <v>0</v>
      </c>
      <c r="L190" s="311">
        <f>'d3'!L190-'d3 до МВК'!L190</f>
        <v>0</v>
      </c>
      <c r="M190" s="311">
        <f>'d3'!M190-'d3 до МВК'!M190</f>
        <v>0</v>
      </c>
      <c r="N190" s="311">
        <f>'d3'!N190-'d3 до МВК'!N190</f>
        <v>0</v>
      </c>
      <c r="O190" s="311">
        <f>'d3'!O190-'d3 до МВК'!O190</f>
        <v>0</v>
      </c>
      <c r="P190" s="311">
        <f>'d3'!P190-'d3 до МВК'!P190</f>
        <v>0</v>
      </c>
    </row>
    <row r="191" spans="1:16" ht="137.25" x14ac:dyDescent="0.2">
      <c r="A191" s="454" t="s">
        <v>595</v>
      </c>
      <c r="B191" s="454" t="s">
        <v>596</v>
      </c>
      <c r="C191" s="454" t="s">
        <v>250</v>
      </c>
      <c r="D191" s="454" t="s">
        <v>597</v>
      </c>
      <c r="E191" s="311">
        <f>'d3'!E191-'d3 до МВК'!E191</f>
        <v>0</v>
      </c>
      <c r="F191" s="311">
        <f>'d3'!F191-'d3 до МВК'!F191</f>
        <v>0</v>
      </c>
      <c r="G191" s="311">
        <f>'d3'!G191-'d3 до МВК'!G191</f>
        <v>0</v>
      </c>
      <c r="H191" s="311">
        <f>'d3'!H191-'d3 до МВК'!H191</f>
        <v>0</v>
      </c>
      <c r="I191" s="311">
        <f>'d3'!I191-'d3 до МВК'!I191</f>
        <v>0</v>
      </c>
      <c r="J191" s="311">
        <f>'d3'!J191-'d3 до МВК'!J191</f>
        <v>0</v>
      </c>
      <c r="K191" s="311">
        <f>'d3'!K191-'d3 до МВК'!K191</f>
        <v>0</v>
      </c>
      <c r="L191" s="311">
        <f>'d3'!L191-'d3 до МВК'!L191</f>
        <v>0</v>
      </c>
      <c r="M191" s="311">
        <f>'d3'!M191-'d3 до МВК'!M191</f>
        <v>0</v>
      </c>
      <c r="N191" s="311">
        <f>'d3'!N191-'d3 до МВК'!N191</f>
        <v>0</v>
      </c>
      <c r="O191" s="311">
        <f>'d3'!O191-'d3 до МВК'!O191</f>
        <v>0</v>
      </c>
      <c r="P191" s="311">
        <f>'d3'!P191-'d3 до МВК'!P191</f>
        <v>0</v>
      </c>
    </row>
    <row r="192" spans="1:16" ht="135" x14ac:dyDescent="0.2">
      <c r="A192" s="327" t="s">
        <v>248</v>
      </c>
      <c r="B192" s="327"/>
      <c r="C192" s="327"/>
      <c r="D192" s="328" t="s">
        <v>48</v>
      </c>
      <c r="E192" s="329">
        <f>E193</f>
        <v>0</v>
      </c>
      <c r="F192" s="329">
        <f t="shared" ref="F192:G192" si="69">F193</f>
        <v>0</v>
      </c>
      <c r="G192" s="329">
        <f t="shared" si="69"/>
        <v>0</v>
      </c>
      <c r="H192" s="329">
        <f>H193</f>
        <v>0</v>
      </c>
      <c r="I192" s="329">
        <f t="shared" ref="I192" si="70">I193</f>
        <v>0</v>
      </c>
      <c r="J192" s="329">
        <f>J193</f>
        <v>0</v>
      </c>
      <c r="K192" s="329">
        <f>K193</f>
        <v>0</v>
      </c>
      <c r="L192" s="329">
        <f>L193</f>
        <v>0</v>
      </c>
      <c r="M192" s="329">
        <f t="shared" ref="M192" si="71">M193</f>
        <v>0</v>
      </c>
      <c r="N192" s="329">
        <f>N193</f>
        <v>0</v>
      </c>
      <c r="O192" s="329">
        <f>O193</f>
        <v>0</v>
      </c>
      <c r="P192" s="329">
        <f t="shared" ref="P192" si="72">P193</f>
        <v>0</v>
      </c>
    </row>
    <row r="193" spans="1:16" ht="135" x14ac:dyDescent="0.2">
      <c r="A193" s="324" t="s">
        <v>249</v>
      </c>
      <c r="B193" s="324"/>
      <c r="C193" s="324"/>
      <c r="D193" s="325" t="s">
        <v>66</v>
      </c>
      <c r="E193" s="326">
        <f>SUM(E194:E197)</f>
        <v>0</v>
      </c>
      <c r="F193" s="326">
        <f t="shared" ref="F193:N193" si="73">SUM(F194:F197)</f>
        <v>0</v>
      </c>
      <c r="G193" s="326">
        <f t="shared" si="73"/>
        <v>0</v>
      </c>
      <c r="H193" s="326">
        <f t="shared" si="73"/>
        <v>0</v>
      </c>
      <c r="I193" s="326">
        <f t="shared" si="73"/>
        <v>0</v>
      </c>
      <c r="J193" s="326">
        <f>L193+O193</f>
        <v>0</v>
      </c>
      <c r="K193" s="326">
        <f>SUM(K194:K197)</f>
        <v>0</v>
      </c>
      <c r="L193" s="326">
        <f t="shared" si="73"/>
        <v>0</v>
      </c>
      <c r="M193" s="326">
        <f t="shared" si="73"/>
        <v>0</v>
      </c>
      <c r="N193" s="326">
        <f t="shared" si="73"/>
        <v>0</v>
      </c>
      <c r="O193" s="326">
        <f>SUM(O194:O197)</f>
        <v>0</v>
      </c>
      <c r="P193" s="326">
        <f>E193+J193</f>
        <v>0</v>
      </c>
    </row>
    <row r="194" spans="1:16" ht="228.75" x14ac:dyDescent="0.2">
      <c r="A194" s="454" t="s">
        <v>716</v>
      </c>
      <c r="B194" s="454" t="s">
        <v>335</v>
      </c>
      <c r="C194" s="454" t="s">
        <v>333</v>
      </c>
      <c r="D194" s="454" t="s">
        <v>334</v>
      </c>
      <c r="E194" s="311">
        <f>'d3'!E194-'d3 до МВК'!E194</f>
        <v>0</v>
      </c>
      <c r="F194" s="311">
        <f>'d3'!F194-'d3 до МВК'!F194</f>
        <v>0</v>
      </c>
      <c r="G194" s="311">
        <f>'d3'!G194-'d3 до МВК'!G194</f>
        <v>0</v>
      </c>
      <c r="H194" s="311">
        <f>'d3'!H194-'d3 до МВК'!H194</f>
        <v>0</v>
      </c>
      <c r="I194" s="311">
        <f>'d3'!I194-'d3 до МВК'!I194</f>
        <v>0</v>
      </c>
      <c r="J194" s="311">
        <f>'d3'!J194-'d3 до МВК'!J194</f>
        <v>0</v>
      </c>
      <c r="K194" s="311">
        <f>'d3'!K194-'d3 до МВК'!K194</f>
        <v>0</v>
      </c>
      <c r="L194" s="311">
        <f>'d3'!L194-'d3 до МВК'!L194</f>
        <v>0</v>
      </c>
      <c r="M194" s="311">
        <f>'d3'!M194-'d3 до МВК'!M194</f>
        <v>0</v>
      </c>
      <c r="N194" s="311">
        <f>'d3'!N194-'d3 до МВК'!N194</f>
        <v>0</v>
      </c>
      <c r="O194" s="311">
        <f>'d3'!O194-'d3 до МВК'!O194</f>
        <v>0</v>
      </c>
      <c r="P194" s="311">
        <f>'d3'!P194-'d3 до МВК'!P194</f>
        <v>0</v>
      </c>
    </row>
    <row r="195" spans="1:16" ht="91.5" x14ac:dyDescent="0.2">
      <c r="A195" s="250">
        <v>3718600</v>
      </c>
      <c r="B195" s="250">
        <v>8600</v>
      </c>
      <c r="C195" s="454" t="s">
        <v>575</v>
      </c>
      <c r="D195" s="250" t="s">
        <v>576</v>
      </c>
      <c r="E195" s="311">
        <f>'d3'!E195-'d3 до МВК'!E195</f>
        <v>0</v>
      </c>
      <c r="F195" s="311">
        <f>'d3'!F195-'d3 до МВК'!F195</f>
        <v>0</v>
      </c>
      <c r="G195" s="311">
        <f>'d3'!G195-'d3 до МВК'!G195</f>
        <v>0</v>
      </c>
      <c r="H195" s="311">
        <f>'d3'!H195-'d3 до МВК'!H195</f>
        <v>0</v>
      </c>
      <c r="I195" s="311">
        <f>'d3'!I195-'d3 до МВК'!I195</f>
        <v>0</v>
      </c>
      <c r="J195" s="311">
        <f>'d3'!J195-'d3 до МВК'!J195</f>
        <v>0</v>
      </c>
      <c r="K195" s="311">
        <f>'d3'!K195-'d3 до МВК'!K195</f>
        <v>0</v>
      </c>
      <c r="L195" s="311">
        <f>'d3'!L195-'d3 до МВК'!L195</f>
        <v>0</v>
      </c>
      <c r="M195" s="311">
        <f>'d3'!M195-'d3 до МВК'!M195</f>
        <v>0</v>
      </c>
      <c r="N195" s="311">
        <f>'d3'!N195-'d3 до МВК'!N195</f>
        <v>0</v>
      </c>
      <c r="O195" s="311">
        <f>'d3'!O195-'d3 до МВК'!O195</f>
        <v>0</v>
      </c>
      <c r="P195" s="311">
        <f>'d3'!P195-'d3 до МВК'!P195</f>
        <v>0</v>
      </c>
    </row>
    <row r="196" spans="1:16" ht="69" customHeight="1" x14ac:dyDescent="0.2">
      <c r="A196" s="250">
        <v>3718700</v>
      </c>
      <c r="B196" s="250">
        <v>8700</v>
      </c>
      <c r="C196" s="454" t="s">
        <v>70</v>
      </c>
      <c r="D196" s="269" t="s">
        <v>68</v>
      </c>
      <c r="E196" s="311">
        <f>'d3'!E196-'d3 до МВК'!E196</f>
        <v>0</v>
      </c>
      <c r="F196" s="311">
        <f>'d3'!F196-'d3 до МВК'!F196</f>
        <v>0</v>
      </c>
      <c r="G196" s="311">
        <f>'d3'!G196-'d3 до МВК'!G196</f>
        <v>0</v>
      </c>
      <c r="H196" s="311">
        <f>'d3'!H196-'d3 до МВК'!H196</f>
        <v>0</v>
      </c>
      <c r="I196" s="311">
        <f>'d3'!I196-'d3 до МВК'!I196</f>
        <v>0</v>
      </c>
      <c r="J196" s="311">
        <f>'d3'!J196-'d3 до МВК'!J196</f>
        <v>0</v>
      </c>
      <c r="K196" s="311">
        <f>'d3'!K196-'d3 до МВК'!K196</f>
        <v>0</v>
      </c>
      <c r="L196" s="311">
        <f>'d3'!L196-'d3 до МВК'!L196</f>
        <v>0</v>
      </c>
      <c r="M196" s="311">
        <f>'d3'!M196-'d3 до МВК'!M196</f>
        <v>0</v>
      </c>
      <c r="N196" s="311">
        <f>'d3'!N196-'d3 до МВК'!N196</f>
        <v>0</v>
      </c>
      <c r="O196" s="311">
        <f>'d3'!O196-'d3 до МВК'!O196</f>
        <v>0</v>
      </c>
      <c r="P196" s="311">
        <f>'d3'!P196-'d3 до МВК'!P196</f>
        <v>0</v>
      </c>
    </row>
    <row r="197" spans="1:16" ht="65.25" customHeight="1" x14ac:dyDescent="0.2">
      <c r="A197" s="250">
        <v>3719110</v>
      </c>
      <c r="B197" s="250">
        <v>9110</v>
      </c>
      <c r="C197" s="454" t="s">
        <v>71</v>
      </c>
      <c r="D197" s="269" t="s">
        <v>69</v>
      </c>
      <c r="E197" s="311">
        <f>'d3'!E197-'d3 до МВК'!E197</f>
        <v>0</v>
      </c>
      <c r="F197" s="311">
        <f>'d3'!F197-'d3 до МВК'!F197</f>
        <v>0</v>
      </c>
      <c r="G197" s="311">
        <f>'d3'!G197-'d3 до МВК'!G197</f>
        <v>0</v>
      </c>
      <c r="H197" s="311">
        <f>'d3'!H197-'d3 до МВК'!H197</f>
        <v>0</v>
      </c>
      <c r="I197" s="311">
        <f>'d3'!I197-'d3 до МВК'!I197</f>
        <v>0</v>
      </c>
      <c r="J197" s="311">
        <f>'d3'!J197-'d3 до МВК'!J197</f>
        <v>0</v>
      </c>
      <c r="K197" s="311">
        <f>'d3'!K197-'d3 до МВК'!K197</f>
        <v>0</v>
      </c>
      <c r="L197" s="311">
        <f>'d3'!L197-'d3 до МВК'!L197</f>
        <v>0</v>
      </c>
      <c r="M197" s="311">
        <f>'d3'!M197-'d3 до МВК'!M197</f>
        <v>0</v>
      </c>
      <c r="N197" s="311">
        <f>'d3'!N197-'d3 до МВК'!N197</f>
        <v>0</v>
      </c>
      <c r="O197" s="311">
        <f>'d3'!O197-'d3 до МВК'!O197</f>
        <v>0</v>
      </c>
      <c r="P197" s="311">
        <f>'d3'!P197-'d3 до МВК'!P197</f>
        <v>0</v>
      </c>
    </row>
    <row r="198" spans="1:16" ht="111.75" customHeight="1" x14ac:dyDescent="0.2">
      <c r="A198" s="330" t="s">
        <v>633</v>
      </c>
      <c r="B198" s="330" t="s">
        <v>633</v>
      </c>
      <c r="C198" s="330" t="s">
        <v>633</v>
      </c>
      <c r="D198" s="331" t="s">
        <v>649</v>
      </c>
      <c r="E198" s="332">
        <f>E14+E26+E122+E40+E54+E112+E138+E160+E169+E193+E174+E181+E188</f>
        <v>0</v>
      </c>
      <c r="F198" s="332">
        <f>F14+F26+F122+F40+F53+F112+F138+F160+F169+F193+F174+F181+F188</f>
        <v>0</v>
      </c>
      <c r="G198" s="332">
        <f t="shared" ref="G198:O198" si="74">G14+G26+G122+G40+G54+G112+G138+G160+G169+G193+G174+G181+G188</f>
        <v>0</v>
      </c>
      <c r="H198" s="332">
        <f>H14+H26+H122+H40+H54+H112+H138+H160+H169+H193+H174+H181+H188</f>
        <v>0</v>
      </c>
      <c r="I198" s="332">
        <f t="shared" si="74"/>
        <v>0</v>
      </c>
      <c r="J198" s="332">
        <f t="shared" si="74"/>
        <v>0</v>
      </c>
      <c r="K198" s="332">
        <f t="shared" si="74"/>
        <v>0</v>
      </c>
      <c r="L198" s="332">
        <f t="shared" si="74"/>
        <v>0</v>
      </c>
      <c r="M198" s="332">
        <f t="shared" si="74"/>
        <v>0</v>
      </c>
      <c r="N198" s="332">
        <f t="shared" si="74"/>
        <v>0</v>
      </c>
      <c r="O198" s="332">
        <f t="shared" si="74"/>
        <v>0</v>
      </c>
      <c r="P198" s="332">
        <f>P14+P26+P122+P40+P53+P112+P138+P160+P169+P193+P174+P181+P188</f>
        <v>0</v>
      </c>
    </row>
    <row r="199" spans="1:16" ht="30" x14ac:dyDescent="0.2">
      <c r="A199" s="510" t="s">
        <v>448</v>
      </c>
      <c r="B199" s="511"/>
      <c r="C199" s="511"/>
      <c r="D199" s="511"/>
      <c r="E199" s="511"/>
      <c r="F199" s="511"/>
      <c r="G199" s="511"/>
      <c r="H199" s="511"/>
      <c r="I199" s="511"/>
      <c r="J199" s="511"/>
      <c r="K199" s="511"/>
      <c r="L199" s="511"/>
      <c r="M199" s="511"/>
      <c r="N199" s="511"/>
      <c r="O199" s="511"/>
      <c r="P199" s="511"/>
    </row>
    <row r="200" spans="1:16" ht="60.75" x14ac:dyDescent="0.2">
      <c r="D200" s="10"/>
      <c r="E200" s="145"/>
      <c r="F200" s="243"/>
      <c r="G200" s="23"/>
      <c r="I200" s="10"/>
      <c r="J200" s="145"/>
      <c r="K200" s="145"/>
      <c r="O200" s="145"/>
      <c r="P200" s="114"/>
    </row>
    <row r="201" spans="1:16" ht="60.75" x14ac:dyDescent="0.2">
      <c r="A201" s="444"/>
      <c r="B201" s="444"/>
      <c r="C201" s="444"/>
      <c r="D201" s="10"/>
      <c r="E201" s="145"/>
      <c r="F201" s="128"/>
      <c r="G201" s="3"/>
      <c r="I201" s="10"/>
      <c r="J201" s="145"/>
      <c r="K201" s="145"/>
      <c r="L201" s="444"/>
      <c r="M201" s="444"/>
      <c r="N201" s="444"/>
      <c r="O201" s="145"/>
      <c r="P201" s="114"/>
    </row>
    <row r="202" spans="1:16" ht="60.75" x14ac:dyDescent="0.2">
      <c r="D202" s="10"/>
      <c r="E202" s="145"/>
      <c r="F202" s="177"/>
      <c r="O202" s="114"/>
      <c r="P202" s="114"/>
    </row>
    <row r="203" spans="1:16" ht="60.75" x14ac:dyDescent="0.2">
      <c r="A203" s="444"/>
      <c r="B203" s="444"/>
      <c r="C203" s="444"/>
      <c r="D203" s="10"/>
      <c r="E203" s="145"/>
      <c r="F203" s="128"/>
      <c r="G203" s="3"/>
      <c r="J203" s="4"/>
      <c r="K203" s="4"/>
      <c r="L203" s="444"/>
      <c r="M203" s="444"/>
      <c r="N203" s="444"/>
      <c r="O203" s="444"/>
      <c r="P203" s="114"/>
    </row>
    <row r="204" spans="1:16" ht="62.25" x14ac:dyDescent="0.8">
      <c r="A204" s="444"/>
      <c r="B204" s="444"/>
      <c r="C204" s="444"/>
      <c r="D204" s="444"/>
      <c r="E204" s="21"/>
      <c r="F204" s="128"/>
      <c r="J204" s="4"/>
      <c r="K204" s="4"/>
      <c r="L204" s="444"/>
      <c r="M204" s="444"/>
      <c r="N204" s="444"/>
      <c r="O204" s="444"/>
      <c r="P204" s="151"/>
    </row>
    <row r="205" spans="1:16" ht="45.75" x14ac:dyDescent="0.2">
      <c r="E205" s="22"/>
      <c r="F205" s="177"/>
    </row>
    <row r="206" spans="1:16" ht="45.75" x14ac:dyDescent="0.2">
      <c r="A206" s="444"/>
      <c r="B206" s="444"/>
      <c r="C206" s="444"/>
      <c r="D206" s="444"/>
      <c r="E206" s="21"/>
      <c r="F206" s="128"/>
      <c r="L206" s="444"/>
      <c r="M206" s="444"/>
      <c r="N206" s="444"/>
      <c r="O206" s="444"/>
      <c r="P206" s="444"/>
    </row>
    <row r="207" spans="1:16" ht="45.75" x14ac:dyDescent="0.2">
      <c r="E207" s="22"/>
      <c r="F207" s="177"/>
    </row>
    <row r="208" spans="1:16" ht="45.75" x14ac:dyDescent="0.2">
      <c r="E208" s="22"/>
      <c r="F208" s="177"/>
    </row>
    <row r="209" spans="1:16" ht="45.75" x14ac:dyDescent="0.2">
      <c r="E209" s="22"/>
      <c r="F209" s="177"/>
    </row>
    <row r="210" spans="1:16" ht="45.75" x14ac:dyDescent="0.2">
      <c r="A210" s="444"/>
      <c r="B210" s="444"/>
      <c r="C210" s="444"/>
      <c r="D210" s="444"/>
      <c r="E210" s="22"/>
      <c r="F210" s="177"/>
      <c r="G210" s="444"/>
      <c r="H210" s="444"/>
      <c r="I210" s="444"/>
      <c r="J210" s="444"/>
      <c r="K210" s="444"/>
      <c r="L210" s="444"/>
      <c r="M210" s="444"/>
      <c r="N210" s="444"/>
      <c r="O210" s="444"/>
      <c r="P210" s="444"/>
    </row>
    <row r="211" spans="1:16" ht="45.75" x14ac:dyDescent="0.2">
      <c r="A211" s="444"/>
      <c r="B211" s="444"/>
      <c r="C211" s="444"/>
      <c r="D211" s="444"/>
      <c r="E211" s="22"/>
      <c r="F211" s="177"/>
      <c r="G211" s="444"/>
      <c r="H211" s="444"/>
      <c r="I211" s="444"/>
      <c r="J211" s="444"/>
      <c r="K211" s="444"/>
      <c r="L211" s="444"/>
      <c r="M211" s="444"/>
      <c r="N211" s="444"/>
      <c r="O211" s="444"/>
      <c r="P211" s="444"/>
    </row>
    <row r="212" spans="1:16" ht="45.75" x14ac:dyDescent="0.2">
      <c r="A212" s="444"/>
      <c r="B212" s="444"/>
      <c r="C212" s="444"/>
      <c r="D212" s="444"/>
      <c r="E212" s="22"/>
      <c r="F212" s="177"/>
      <c r="G212" s="444"/>
      <c r="H212" s="444"/>
      <c r="I212" s="444"/>
      <c r="J212" s="444"/>
      <c r="K212" s="444"/>
      <c r="L212" s="444"/>
      <c r="M212" s="444"/>
      <c r="N212" s="444"/>
      <c r="O212" s="444"/>
      <c r="P212" s="444"/>
    </row>
    <row r="213" spans="1:16" ht="45.75" x14ac:dyDescent="0.2">
      <c r="A213" s="444"/>
      <c r="B213" s="444"/>
      <c r="C213" s="444"/>
      <c r="D213" s="444"/>
      <c r="E213" s="22"/>
      <c r="F213" s="177"/>
      <c r="G213" s="444"/>
      <c r="H213" s="444"/>
      <c r="I213" s="444"/>
      <c r="J213" s="444"/>
      <c r="K213" s="444"/>
      <c r="L213" s="444"/>
      <c r="M213" s="444"/>
      <c r="N213" s="444"/>
      <c r="O213" s="444"/>
      <c r="P213" s="444"/>
    </row>
  </sheetData>
  <mergeCells count="142">
    <mergeCell ref="N2:P2"/>
    <mergeCell ref="N3:P3"/>
    <mergeCell ref="O4:P4"/>
    <mergeCell ref="A6:P6"/>
    <mergeCell ref="A7:P7"/>
    <mergeCell ref="A9:A11"/>
    <mergeCell ref="B9:B11"/>
    <mergeCell ref="C9:C11"/>
    <mergeCell ref="D9:D11"/>
    <mergeCell ref="E9:I9"/>
    <mergeCell ref="J9:O9"/>
    <mergeCell ref="P9:P11"/>
    <mergeCell ref="E10:E11"/>
    <mergeCell ref="F10:F11"/>
    <mergeCell ref="G10:H10"/>
    <mergeCell ref="I10:I11"/>
    <mergeCell ref="J10:J11"/>
    <mergeCell ref="K10:K11"/>
    <mergeCell ref="L10:L11"/>
    <mergeCell ref="M10:N10"/>
    <mergeCell ref="O10:O11"/>
    <mergeCell ref="A19:A20"/>
    <mergeCell ref="B19:B20"/>
    <mergeCell ref="C19:C20"/>
    <mergeCell ref="E19:E20"/>
    <mergeCell ref="F19:F20"/>
    <mergeCell ref="G19:G20"/>
    <mergeCell ref="H19:H20"/>
    <mergeCell ref="I19:I20"/>
    <mergeCell ref="J19:J20"/>
    <mergeCell ref="G79:G80"/>
    <mergeCell ref="O91:O93"/>
    <mergeCell ref="P91:P93"/>
    <mergeCell ref="K19:K20"/>
    <mergeCell ref="L19:L20"/>
    <mergeCell ref="M19:M20"/>
    <mergeCell ref="N19:N20"/>
    <mergeCell ref="O19:O20"/>
    <mergeCell ref="P19:P20"/>
    <mergeCell ref="H94:H97"/>
    <mergeCell ref="I94:I97"/>
    <mergeCell ref="I91:I93"/>
    <mergeCell ref="N79:N80"/>
    <mergeCell ref="O79:O80"/>
    <mergeCell ref="P79:P80"/>
    <mergeCell ref="A91:A93"/>
    <mergeCell ref="B91:B93"/>
    <mergeCell ref="C91:C93"/>
    <mergeCell ref="E91:E93"/>
    <mergeCell ref="F91:F93"/>
    <mergeCell ref="G91:G93"/>
    <mergeCell ref="H91:H93"/>
    <mergeCell ref="H79:H80"/>
    <mergeCell ref="I79:I80"/>
    <mergeCell ref="J79:J80"/>
    <mergeCell ref="K79:K80"/>
    <mergeCell ref="L79:L80"/>
    <mergeCell ref="M79:M80"/>
    <mergeCell ref="A79:A80"/>
    <mergeCell ref="B79:B80"/>
    <mergeCell ref="C79:C80"/>
    <mergeCell ref="E79:E80"/>
    <mergeCell ref="F79:F80"/>
    <mergeCell ref="J91:J93"/>
    <mergeCell ref="K91:K93"/>
    <mergeCell ref="L91:L93"/>
    <mergeCell ref="M91:M93"/>
    <mergeCell ref="N91:N93"/>
    <mergeCell ref="K98:K100"/>
    <mergeCell ref="L98:L100"/>
    <mergeCell ref="M98:M100"/>
    <mergeCell ref="N98:N100"/>
    <mergeCell ref="O98:O100"/>
    <mergeCell ref="P98:P100"/>
    <mergeCell ref="P94:P97"/>
    <mergeCell ref="A98:A100"/>
    <mergeCell ref="B98:B100"/>
    <mergeCell ref="C98:C100"/>
    <mergeCell ref="E98:E100"/>
    <mergeCell ref="F98:F100"/>
    <mergeCell ref="G98:G100"/>
    <mergeCell ref="H98:H100"/>
    <mergeCell ref="I98:I100"/>
    <mergeCell ref="J98:J100"/>
    <mergeCell ref="J94:J97"/>
    <mergeCell ref="K94:K97"/>
    <mergeCell ref="L94:L97"/>
    <mergeCell ref="M94:M97"/>
    <mergeCell ref="N94:N97"/>
    <mergeCell ref="O94:O97"/>
    <mergeCell ref="A94:A97"/>
    <mergeCell ref="B94:B97"/>
    <mergeCell ref="C94:C97"/>
    <mergeCell ref="E94:E97"/>
    <mergeCell ref="F94:F97"/>
    <mergeCell ref="G94:G97"/>
    <mergeCell ref="N101:N103"/>
    <mergeCell ref="O101:O103"/>
    <mergeCell ref="P101:P103"/>
    <mergeCell ref="A109:A110"/>
    <mergeCell ref="B109:B110"/>
    <mergeCell ref="C109:C110"/>
    <mergeCell ref="E109:E110"/>
    <mergeCell ref="F109:F110"/>
    <mergeCell ref="G109:G110"/>
    <mergeCell ref="H109:H110"/>
    <mergeCell ref="H101:H103"/>
    <mergeCell ref="I101:I103"/>
    <mergeCell ref="J101:J103"/>
    <mergeCell ref="K101:K103"/>
    <mergeCell ref="L101:L103"/>
    <mergeCell ref="M101:M103"/>
    <mergeCell ref="A101:A103"/>
    <mergeCell ref="B101:B103"/>
    <mergeCell ref="C101:C103"/>
    <mergeCell ref="E101:E103"/>
    <mergeCell ref="F101:F103"/>
    <mergeCell ref="G101:G103"/>
    <mergeCell ref="P156:P157"/>
    <mergeCell ref="A199:P199"/>
    <mergeCell ref="J156:J157"/>
    <mergeCell ref="K156:K157"/>
    <mergeCell ref="L156:L157"/>
    <mergeCell ref="M156:M157"/>
    <mergeCell ref="N156:N157"/>
    <mergeCell ref="O156:O157"/>
    <mergeCell ref="O109:O110"/>
    <mergeCell ref="P109:P110"/>
    <mergeCell ref="A156:A157"/>
    <mergeCell ref="B156:B157"/>
    <mergeCell ref="C156:C157"/>
    <mergeCell ref="E156:E157"/>
    <mergeCell ref="F156:F157"/>
    <mergeCell ref="G156:G157"/>
    <mergeCell ref="H156:H157"/>
    <mergeCell ref="I156:I157"/>
    <mergeCell ref="I109:I110"/>
    <mergeCell ref="J109:J110"/>
    <mergeCell ref="K109:K110"/>
    <mergeCell ref="L109:L110"/>
    <mergeCell ref="M109:M110"/>
    <mergeCell ref="N109:N110"/>
  </mergeCells>
  <pageMargins left="0.23622047244094491" right="0.27559055118110237" top="0.27559055118110237" bottom="0.15748031496062992" header="0.23622047244094491" footer="0.27559055118110237"/>
  <pageSetup paperSize="9" scale="15" fitToHeight="0" orientation="landscape" r:id="rId1"/>
  <headerFooter alignWithMargins="0">
    <oddFooter>&amp;C&amp;"Times New Roman Cyr,курсив"Сторінка &amp;P з &amp;N</oddFooter>
  </headerFooter>
  <rowBreaks count="3" manualBreakCount="3">
    <brk id="28" max="15" man="1"/>
    <brk id="48" max="15" man="1"/>
    <brk id="69"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Q38"/>
  <sheetViews>
    <sheetView view="pageBreakPreview" topLeftCell="A25" zoomScaleSheetLayoutView="100" workbookViewId="0">
      <selection activeCell="F4" sqref="F4"/>
    </sheetView>
  </sheetViews>
  <sheetFormatPr defaultColWidth="9.140625" defaultRowHeight="12.75" x14ac:dyDescent="0.2"/>
  <cols>
    <col min="1" max="1" width="9.7109375" style="207" customWidth="1"/>
    <col min="2" max="3" width="22.140625" style="207" customWidth="1"/>
    <col min="4" max="4" width="14.140625" style="207" customWidth="1"/>
    <col min="5" max="5" width="14" style="207" customWidth="1"/>
    <col min="6" max="6" width="15.42578125" style="207" customWidth="1"/>
    <col min="7" max="7" width="15.140625" style="207" customWidth="1"/>
    <col min="8" max="8" width="16.42578125" style="207" customWidth="1"/>
    <col min="9" max="9" width="8.28515625" style="207" customWidth="1"/>
    <col min="10" max="10" width="9.140625" style="207"/>
    <col min="11" max="11" width="9.7109375" style="207" customWidth="1"/>
    <col min="12" max="12" width="9.140625" style="207"/>
    <col min="13" max="13" width="8.140625" style="207" customWidth="1"/>
    <col min="14" max="16384" width="9.140625" style="207"/>
  </cols>
  <sheetData>
    <row r="1" spans="1:17" x14ac:dyDescent="0.2">
      <c r="F1" s="79" t="s">
        <v>170</v>
      </c>
    </row>
    <row r="2" spans="1:17" x14ac:dyDescent="0.2">
      <c r="F2" s="79" t="s">
        <v>171</v>
      </c>
    </row>
    <row r="3" spans="1:17" x14ac:dyDescent="0.2">
      <c r="F3" s="79" t="s">
        <v>1018</v>
      </c>
    </row>
    <row r="5" spans="1:17" ht="18.75" x14ac:dyDescent="0.3">
      <c r="A5" s="466" t="s">
        <v>638</v>
      </c>
      <c r="B5" s="466"/>
      <c r="C5" s="466"/>
      <c r="D5" s="466"/>
      <c r="E5" s="466"/>
      <c r="F5" s="466"/>
    </row>
    <row r="6" spans="1:17" ht="18.75" x14ac:dyDescent="0.3">
      <c r="A6" s="205"/>
      <c r="B6" s="205"/>
      <c r="C6" s="205"/>
      <c r="D6" s="205"/>
      <c r="E6" s="205"/>
      <c r="F6" s="205"/>
    </row>
    <row r="7" spans="1:17" x14ac:dyDescent="0.2">
      <c r="F7" s="175" t="s">
        <v>640</v>
      </c>
    </row>
    <row r="8" spans="1:17" x14ac:dyDescent="0.2">
      <c r="A8" s="467" t="s">
        <v>94</v>
      </c>
      <c r="B8" s="467" t="s">
        <v>630</v>
      </c>
      <c r="C8" s="467" t="s">
        <v>635</v>
      </c>
      <c r="D8" s="468" t="s">
        <v>25</v>
      </c>
      <c r="E8" s="467" t="s">
        <v>84</v>
      </c>
      <c r="F8" s="467"/>
    </row>
    <row r="9" spans="1:17" ht="35.450000000000003" customHeight="1" x14ac:dyDescent="0.2">
      <c r="A9" s="467"/>
      <c r="B9" s="467"/>
      <c r="C9" s="467"/>
      <c r="D9" s="469"/>
      <c r="E9" s="206" t="s">
        <v>636</v>
      </c>
      <c r="F9" s="206" t="s">
        <v>637</v>
      </c>
    </row>
    <row r="10" spans="1:17" x14ac:dyDescent="0.2">
      <c r="A10" s="80">
        <v>1</v>
      </c>
      <c r="B10" s="80">
        <v>2</v>
      </c>
      <c r="C10" s="80">
        <v>3</v>
      </c>
      <c r="D10" s="80">
        <v>4</v>
      </c>
      <c r="E10" s="80">
        <v>5</v>
      </c>
      <c r="F10" s="80">
        <v>6</v>
      </c>
    </row>
    <row r="11" spans="1:17" ht="23.25" customHeight="1" x14ac:dyDescent="0.2">
      <c r="A11" s="461" t="s">
        <v>631</v>
      </c>
      <c r="B11" s="462"/>
      <c r="C11" s="80"/>
      <c r="D11" s="80"/>
      <c r="E11" s="81"/>
      <c r="F11" s="81"/>
    </row>
    <row r="12" spans="1:17" x14ac:dyDescent="0.2">
      <c r="A12" s="82" t="s">
        <v>172</v>
      </c>
      <c r="B12" s="82" t="s">
        <v>173</v>
      </c>
      <c r="C12" s="82">
        <f>D12+E12</f>
        <v>85903475.610000014</v>
      </c>
      <c r="D12" s="82">
        <f>D13+D15</f>
        <v>-273857242.63</v>
      </c>
      <c r="E12" s="82">
        <f>E13+E15</f>
        <v>359760718.24000001</v>
      </c>
      <c r="F12" s="82">
        <f>F13+F15</f>
        <v>358691765.75999999</v>
      </c>
      <c r="G12" s="208"/>
      <c r="H12" s="208"/>
      <c r="I12" s="208"/>
      <c r="J12" s="208"/>
      <c r="K12" s="208"/>
      <c r="L12" s="208"/>
      <c r="M12" s="208"/>
      <c r="N12" s="208"/>
      <c r="O12" s="208"/>
      <c r="P12" s="208"/>
      <c r="Q12" s="208"/>
    </row>
    <row r="13" spans="1:17" ht="16.5" customHeight="1" x14ac:dyDescent="0.2">
      <c r="A13" s="83" t="s">
        <v>174</v>
      </c>
      <c r="B13" s="83" t="s">
        <v>175</v>
      </c>
      <c r="C13" s="209">
        <f>D13+E13</f>
        <v>85903475.609999999</v>
      </c>
      <c r="D13" s="209">
        <v>82864310.260000005</v>
      </c>
      <c r="E13" s="209">
        <f>3039165.35</f>
        <v>3039165.35</v>
      </c>
      <c r="F13" s="209">
        <v>1970212.87</v>
      </c>
      <c r="G13" s="208"/>
      <c r="H13" s="208"/>
      <c r="I13" s="208"/>
      <c r="J13" s="208"/>
      <c r="K13" s="208"/>
      <c r="L13" s="208"/>
      <c r="M13" s="208"/>
      <c r="N13" s="208"/>
      <c r="O13" s="208"/>
      <c r="P13" s="208"/>
      <c r="Q13" s="208"/>
    </row>
    <row r="14" spans="1:17" ht="18.75" hidden="1" customHeight="1" x14ac:dyDescent="0.2">
      <c r="A14" s="83">
        <v>208200</v>
      </c>
      <c r="B14" s="83" t="s">
        <v>176</v>
      </c>
      <c r="C14" s="209">
        <f>D14+E14</f>
        <v>0</v>
      </c>
      <c r="D14" s="209"/>
      <c r="E14" s="209"/>
      <c r="F14" s="82"/>
      <c r="G14" s="208"/>
      <c r="H14" s="208"/>
      <c r="I14" s="208"/>
      <c r="J14" s="208"/>
      <c r="K14" s="208"/>
      <c r="L14" s="208"/>
      <c r="M14" s="208"/>
      <c r="N14" s="208"/>
      <c r="O14" s="208"/>
      <c r="P14" s="208"/>
      <c r="Q14" s="208"/>
    </row>
    <row r="15" spans="1:17" ht="51" x14ac:dyDescent="0.2">
      <c r="A15" s="83">
        <v>208400</v>
      </c>
      <c r="B15" s="84" t="s">
        <v>177</v>
      </c>
      <c r="C15" s="82">
        <f>D15+E15</f>
        <v>0</v>
      </c>
      <c r="D15" s="82">
        <v>-356721552.88999999</v>
      </c>
      <c r="E15" s="82">
        <v>356721552.88999999</v>
      </c>
      <c r="F15" s="82">
        <v>356721552.88999999</v>
      </c>
      <c r="G15" s="208"/>
      <c r="H15" s="208"/>
      <c r="I15" s="208"/>
      <c r="J15" s="208"/>
      <c r="K15" s="208"/>
      <c r="L15" s="208"/>
      <c r="M15" s="208"/>
      <c r="N15" s="208"/>
      <c r="O15" s="208"/>
      <c r="P15" s="208"/>
      <c r="Q15" s="208"/>
    </row>
    <row r="16" spans="1:17" x14ac:dyDescent="0.2">
      <c r="A16" s="131">
        <v>300000</v>
      </c>
      <c r="B16" s="110" t="s">
        <v>567</v>
      </c>
      <c r="C16" s="82">
        <v>-2128333</v>
      </c>
      <c r="D16" s="82">
        <v>0</v>
      </c>
      <c r="E16" s="82">
        <v>-2128333</v>
      </c>
      <c r="F16" s="82">
        <v>-2128333</v>
      </c>
      <c r="G16" s="208"/>
      <c r="H16" s="208"/>
      <c r="I16" s="208"/>
      <c r="J16" s="208"/>
      <c r="K16" s="208"/>
      <c r="L16" s="208"/>
      <c r="M16" s="208"/>
      <c r="N16" s="208"/>
      <c r="O16" s="208"/>
      <c r="P16" s="208"/>
      <c r="Q16" s="208"/>
    </row>
    <row r="17" spans="1:17" ht="38.25" x14ac:dyDescent="0.2">
      <c r="A17" s="131">
        <v>301000</v>
      </c>
      <c r="B17" s="110" t="s">
        <v>568</v>
      </c>
      <c r="C17" s="82">
        <v>-2128333</v>
      </c>
      <c r="D17" s="82">
        <v>0</v>
      </c>
      <c r="E17" s="82">
        <v>-2128333</v>
      </c>
      <c r="F17" s="82">
        <v>-2128333</v>
      </c>
      <c r="G17" s="208"/>
      <c r="H17" s="208"/>
      <c r="I17" s="208"/>
      <c r="J17" s="208"/>
      <c r="K17" s="208"/>
      <c r="L17" s="208"/>
      <c r="M17" s="208"/>
      <c r="N17" s="208"/>
      <c r="O17" s="208"/>
      <c r="P17" s="208"/>
      <c r="Q17" s="208"/>
    </row>
    <row r="18" spans="1:17" x14ac:dyDescent="0.2">
      <c r="A18" s="83">
        <v>301100</v>
      </c>
      <c r="B18" s="84" t="s">
        <v>569</v>
      </c>
      <c r="C18" s="82">
        <v>1183975</v>
      </c>
      <c r="D18" s="82"/>
      <c r="E18" s="82">
        <v>1183975</v>
      </c>
      <c r="F18" s="82">
        <v>1183975</v>
      </c>
      <c r="G18" s="208"/>
      <c r="H18" s="208"/>
      <c r="I18" s="208"/>
      <c r="J18" s="208"/>
      <c r="K18" s="208"/>
      <c r="L18" s="208"/>
      <c r="M18" s="208"/>
      <c r="N18" s="208"/>
      <c r="O18" s="208"/>
      <c r="P18" s="208"/>
      <c r="Q18" s="208"/>
    </row>
    <row r="19" spans="1:17" x14ac:dyDescent="0.2">
      <c r="A19" s="83">
        <v>301200</v>
      </c>
      <c r="B19" s="84" t="s">
        <v>570</v>
      </c>
      <c r="C19" s="82">
        <v>-3312308</v>
      </c>
      <c r="D19" s="82"/>
      <c r="E19" s="82">
        <v>-3312308</v>
      </c>
      <c r="F19" s="82">
        <v>-3312308</v>
      </c>
      <c r="G19" s="208"/>
      <c r="H19" s="208"/>
      <c r="I19" s="208"/>
      <c r="J19" s="208"/>
      <c r="K19" s="208"/>
      <c r="L19" s="208"/>
      <c r="M19" s="208"/>
      <c r="N19" s="208"/>
      <c r="O19" s="208"/>
      <c r="P19" s="208"/>
      <c r="Q19" s="208"/>
    </row>
    <row r="20" spans="1:17" x14ac:dyDescent="0.2">
      <c r="A20" s="131" t="s">
        <v>633</v>
      </c>
      <c r="B20" s="110" t="s">
        <v>632</v>
      </c>
      <c r="C20" s="82"/>
      <c r="D20" s="82"/>
      <c r="E20" s="82">
        <v>-2128333</v>
      </c>
      <c r="F20" s="82">
        <v>-2128333</v>
      </c>
      <c r="G20" s="208"/>
      <c r="H20" s="208"/>
      <c r="I20" s="208"/>
      <c r="J20" s="208"/>
      <c r="K20" s="208"/>
      <c r="L20" s="208"/>
      <c r="M20" s="208"/>
      <c r="N20" s="208"/>
      <c r="O20" s="208"/>
      <c r="P20" s="208"/>
      <c r="Q20" s="208"/>
    </row>
    <row r="21" spans="1:17" ht="35.450000000000003" customHeight="1" x14ac:dyDescent="0.2">
      <c r="A21" s="461" t="s">
        <v>634</v>
      </c>
      <c r="B21" s="463"/>
      <c r="C21" s="82"/>
      <c r="D21" s="82"/>
      <c r="E21" s="82"/>
      <c r="F21" s="82"/>
      <c r="G21" s="208"/>
      <c r="H21" s="208"/>
      <c r="I21" s="208"/>
      <c r="J21" s="208"/>
      <c r="K21" s="208"/>
      <c r="L21" s="208"/>
      <c r="M21" s="208"/>
      <c r="N21" s="208"/>
      <c r="O21" s="208"/>
      <c r="P21" s="208"/>
      <c r="Q21" s="208"/>
    </row>
    <row r="22" spans="1:17" ht="25.5" x14ac:dyDescent="0.2">
      <c r="A22" s="131">
        <v>400000</v>
      </c>
      <c r="B22" s="110" t="s">
        <v>178</v>
      </c>
      <c r="C22" s="82">
        <v>-2128333</v>
      </c>
      <c r="D22" s="82"/>
      <c r="E22" s="82">
        <v>-2128333</v>
      </c>
      <c r="F22" s="82">
        <v>-2128333</v>
      </c>
      <c r="G22" s="208"/>
      <c r="H22" s="208"/>
      <c r="I22" s="208"/>
      <c r="J22" s="208"/>
      <c r="K22" s="208"/>
      <c r="L22" s="208"/>
      <c r="M22" s="208"/>
      <c r="N22" s="208"/>
      <c r="O22" s="208"/>
      <c r="P22" s="208"/>
      <c r="Q22" s="208"/>
    </row>
    <row r="23" spans="1:17" x14ac:dyDescent="0.2">
      <c r="A23" s="131">
        <v>401000</v>
      </c>
      <c r="B23" s="110" t="s">
        <v>179</v>
      </c>
      <c r="C23" s="82">
        <v>1183975</v>
      </c>
      <c r="D23" s="82"/>
      <c r="E23" s="82">
        <v>1183975</v>
      </c>
      <c r="F23" s="82">
        <v>1183975</v>
      </c>
      <c r="G23" s="208"/>
      <c r="H23" s="208"/>
      <c r="I23" s="208"/>
      <c r="J23" s="208"/>
      <c r="K23" s="208"/>
      <c r="L23" s="208"/>
      <c r="M23" s="208"/>
      <c r="N23" s="208"/>
      <c r="O23" s="208"/>
      <c r="P23" s="208"/>
      <c r="Q23" s="208"/>
    </row>
    <row r="24" spans="1:17" s="2" customFormat="1" x14ac:dyDescent="0.2">
      <c r="A24" s="131">
        <v>401200</v>
      </c>
      <c r="B24" s="110" t="s">
        <v>571</v>
      </c>
      <c r="C24" s="82">
        <v>1183975</v>
      </c>
      <c r="D24" s="82"/>
      <c r="E24" s="82">
        <v>1183975</v>
      </c>
      <c r="F24" s="82">
        <v>1183975</v>
      </c>
      <c r="G24" s="132"/>
      <c r="H24" s="132"/>
      <c r="I24" s="132"/>
      <c r="J24" s="132"/>
      <c r="K24" s="132"/>
      <c r="L24" s="132"/>
      <c r="M24" s="132"/>
      <c r="N24" s="132"/>
      <c r="O24" s="132"/>
      <c r="P24" s="132"/>
      <c r="Q24" s="132"/>
    </row>
    <row r="25" spans="1:17" ht="25.5" x14ac:dyDescent="0.2">
      <c r="A25" s="83">
        <v>401202</v>
      </c>
      <c r="B25" s="84" t="s">
        <v>572</v>
      </c>
      <c r="C25" s="209">
        <v>1183975</v>
      </c>
      <c r="D25" s="82"/>
      <c r="E25" s="209">
        <v>1183975</v>
      </c>
      <c r="F25" s="209">
        <v>1183975</v>
      </c>
      <c r="G25" s="208"/>
      <c r="H25" s="208"/>
      <c r="I25" s="208"/>
      <c r="J25" s="208"/>
      <c r="K25" s="208"/>
      <c r="L25" s="208"/>
      <c r="M25" s="208"/>
      <c r="N25" s="208"/>
      <c r="O25" s="208"/>
      <c r="P25" s="208"/>
      <c r="Q25" s="208"/>
    </row>
    <row r="26" spans="1:17" s="2" customFormat="1" x14ac:dyDescent="0.2">
      <c r="A26" s="131">
        <v>402000</v>
      </c>
      <c r="B26" s="110" t="s">
        <v>573</v>
      </c>
      <c r="C26" s="82">
        <v>-3312308</v>
      </c>
      <c r="D26" s="82"/>
      <c r="E26" s="82">
        <v>-3312308</v>
      </c>
      <c r="F26" s="82">
        <v>-3312308</v>
      </c>
      <c r="G26" s="132"/>
      <c r="H26" s="132"/>
      <c r="I26" s="132"/>
      <c r="J26" s="132"/>
      <c r="K26" s="132"/>
      <c r="L26" s="132"/>
      <c r="M26" s="132"/>
      <c r="N26" s="132"/>
      <c r="O26" s="132"/>
      <c r="P26" s="132"/>
      <c r="Q26" s="132"/>
    </row>
    <row r="27" spans="1:17" s="2" customFormat="1" x14ac:dyDescent="0.2">
      <c r="A27" s="131">
        <v>402200</v>
      </c>
      <c r="B27" s="110" t="s">
        <v>574</v>
      </c>
      <c r="C27" s="82">
        <v>-3312308</v>
      </c>
      <c r="D27" s="82"/>
      <c r="E27" s="82">
        <v>-3312308</v>
      </c>
      <c r="F27" s="82">
        <v>-3312308</v>
      </c>
      <c r="G27" s="132"/>
      <c r="H27" s="132"/>
      <c r="I27" s="132"/>
      <c r="J27" s="132"/>
      <c r="K27" s="132"/>
      <c r="L27" s="132"/>
      <c r="M27" s="132"/>
      <c r="N27" s="132"/>
      <c r="O27" s="132"/>
      <c r="P27" s="132"/>
      <c r="Q27" s="132"/>
    </row>
    <row r="28" spans="1:17" ht="25.5" customHeight="1" x14ac:dyDescent="0.2">
      <c r="A28" s="83">
        <v>402202</v>
      </c>
      <c r="B28" s="84" t="s">
        <v>572</v>
      </c>
      <c r="C28" s="209">
        <v>-3312308</v>
      </c>
      <c r="D28" s="82"/>
      <c r="E28" s="209">
        <v>-3312308</v>
      </c>
      <c r="F28" s="209">
        <v>-3312308</v>
      </c>
      <c r="G28" s="208"/>
      <c r="H28" s="208"/>
      <c r="I28" s="208"/>
      <c r="J28" s="208"/>
      <c r="K28" s="208"/>
      <c r="L28" s="208"/>
      <c r="M28" s="208"/>
      <c r="N28" s="208"/>
      <c r="O28" s="208"/>
      <c r="P28" s="208"/>
      <c r="Q28" s="208"/>
    </row>
    <row r="29" spans="1:17" x14ac:dyDescent="0.2">
      <c r="A29" s="131" t="s">
        <v>633</v>
      </c>
      <c r="B29" s="110" t="s">
        <v>632</v>
      </c>
      <c r="C29" s="82">
        <v>83775142.609999999</v>
      </c>
      <c r="D29" s="82">
        <v>-356721552.88999999</v>
      </c>
      <c r="E29" s="82">
        <v>440496695.5</v>
      </c>
      <c r="F29" s="82">
        <v>439429201.35000002</v>
      </c>
      <c r="G29" s="208"/>
      <c r="H29" s="208"/>
      <c r="I29" s="208"/>
      <c r="J29" s="208"/>
      <c r="K29" s="208"/>
      <c r="L29" s="208"/>
      <c r="M29" s="208"/>
      <c r="N29" s="208"/>
      <c r="O29" s="208"/>
      <c r="P29" s="208"/>
      <c r="Q29" s="208"/>
    </row>
    <row r="30" spans="1:17" ht="25.5" x14ac:dyDescent="0.2">
      <c r="A30" s="131" t="s">
        <v>180</v>
      </c>
      <c r="B30" s="131" t="s">
        <v>181</v>
      </c>
      <c r="C30" s="82">
        <f>D30+E30</f>
        <v>0</v>
      </c>
      <c r="D30" s="82">
        <v>-356721552.88999999</v>
      </c>
      <c r="E30" s="82">
        <v>356721552.88999999</v>
      </c>
      <c r="F30" s="82">
        <v>356721552.88999999</v>
      </c>
      <c r="G30" s="208"/>
      <c r="H30" s="208"/>
      <c r="I30" s="208"/>
      <c r="J30" s="208"/>
      <c r="K30" s="208"/>
      <c r="L30" s="208"/>
      <c r="M30" s="208"/>
      <c r="N30" s="208"/>
      <c r="O30" s="208"/>
      <c r="P30" s="208"/>
      <c r="Q30" s="208"/>
    </row>
    <row r="31" spans="1:17" ht="36" customHeight="1" x14ac:dyDescent="0.2">
      <c r="A31" s="83">
        <v>602100</v>
      </c>
      <c r="B31" s="84" t="s">
        <v>182</v>
      </c>
      <c r="C31" s="209">
        <f>D31+E31</f>
        <v>0</v>
      </c>
      <c r="D31" s="209"/>
      <c r="E31" s="209"/>
      <c r="F31" s="209"/>
      <c r="G31" s="208"/>
      <c r="H31" s="208"/>
      <c r="I31" s="208"/>
      <c r="J31" s="208"/>
      <c r="K31" s="208"/>
      <c r="L31" s="208"/>
      <c r="M31" s="208"/>
      <c r="N31" s="208"/>
      <c r="O31" s="208"/>
      <c r="P31" s="208"/>
      <c r="Q31" s="208"/>
    </row>
    <row r="32" spans="1:17" ht="39.75" hidden="1" customHeight="1" x14ac:dyDescent="0.2">
      <c r="A32" s="83">
        <v>602200</v>
      </c>
      <c r="B32" s="84" t="s">
        <v>183</v>
      </c>
      <c r="C32" s="209">
        <f>SUM(D32:E32)</f>
        <v>0</v>
      </c>
      <c r="D32" s="209"/>
      <c r="E32" s="209"/>
      <c r="F32" s="82"/>
      <c r="G32" s="208"/>
      <c r="H32" s="208"/>
      <c r="I32" s="208"/>
      <c r="J32" s="208"/>
      <c r="K32" s="208"/>
      <c r="L32" s="208"/>
      <c r="M32" s="208"/>
      <c r="N32" s="208"/>
      <c r="O32" s="208"/>
      <c r="P32" s="208"/>
      <c r="Q32" s="208"/>
    </row>
    <row r="33" spans="1:17" ht="52.5" customHeight="1" x14ac:dyDescent="0.2">
      <c r="A33" s="83">
        <v>602400</v>
      </c>
      <c r="B33" s="84" t="s">
        <v>177</v>
      </c>
      <c r="C33" s="82">
        <v>0</v>
      </c>
      <c r="D33" s="82">
        <v>-356721552.88999999</v>
      </c>
      <c r="E33" s="82">
        <v>356721552.88999999</v>
      </c>
      <c r="F33" s="82">
        <v>356721552.88999999</v>
      </c>
      <c r="G33" s="208"/>
      <c r="H33" s="208"/>
      <c r="I33" s="208"/>
      <c r="J33" s="208"/>
      <c r="K33" s="208"/>
      <c r="L33" s="208"/>
      <c r="M33" s="208"/>
      <c r="N33" s="208"/>
      <c r="O33" s="208"/>
      <c r="P33" s="208"/>
      <c r="Q33" s="208"/>
    </row>
    <row r="34" spans="1:17" x14ac:dyDescent="0.2">
      <c r="A34" s="131" t="s">
        <v>633</v>
      </c>
      <c r="B34" s="110" t="s">
        <v>632</v>
      </c>
      <c r="C34" s="82">
        <f>D34+E34</f>
        <v>83775142.610000014</v>
      </c>
      <c r="D34" s="82">
        <v>-273857242.63</v>
      </c>
      <c r="E34" s="82">
        <v>357632385.24000001</v>
      </c>
      <c r="F34" s="82">
        <v>356563432.75999999</v>
      </c>
      <c r="G34" s="208"/>
      <c r="H34" s="208"/>
      <c r="I34" s="208"/>
      <c r="J34" s="208"/>
      <c r="K34" s="208"/>
      <c r="L34" s="208"/>
      <c r="M34" s="208"/>
      <c r="N34" s="208"/>
      <c r="O34" s="208"/>
      <c r="P34" s="208"/>
      <c r="Q34" s="208"/>
    </row>
    <row r="35" spans="1:17" x14ac:dyDescent="0.2">
      <c r="A35" s="119"/>
      <c r="B35" s="119"/>
      <c r="C35" s="119"/>
      <c r="D35" s="119"/>
      <c r="E35" s="119"/>
      <c r="F35" s="119"/>
      <c r="G35" s="119"/>
      <c r="H35" s="119"/>
      <c r="I35" s="119"/>
    </row>
    <row r="36" spans="1:17" x14ac:dyDescent="0.2">
      <c r="A36" s="119"/>
      <c r="B36" s="464" t="s">
        <v>1003</v>
      </c>
      <c r="C36" s="464"/>
      <c r="D36" s="465"/>
      <c r="E36" s="119" t="s">
        <v>1004</v>
      </c>
      <c r="F36" s="119"/>
      <c r="G36" s="119"/>
      <c r="H36" s="119"/>
      <c r="I36" s="119"/>
    </row>
    <row r="37" spans="1:17" x14ac:dyDescent="0.2">
      <c r="A37" s="119"/>
      <c r="B37" s="204"/>
      <c r="C37" s="204"/>
      <c r="D37" s="119"/>
      <c r="E37" s="119"/>
      <c r="F37" s="119"/>
      <c r="G37" s="119"/>
      <c r="H37" s="119"/>
      <c r="I37" s="119"/>
    </row>
    <row r="38" spans="1:17" x14ac:dyDescent="0.2">
      <c r="F38" s="119"/>
    </row>
  </sheetData>
  <mergeCells count="9">
    <mergeCell ref="A11:B11"/>
    <mergeCell ref="A21:B21"/>
    <mergeCell ref="B36:D36"/>
    <mergeCell ref="A5:F5"/>
    <mergeCell ref="A8:A9"/>
    <mergeCell ref="B8:B9"/>
    <mergeCell ref="C8:C9"/>
    <mergeCell ref="D8:D9"/>
    <mergeCell ref="E8:F8"/>
  </mergeCells>
  <pageMargins left="1.1811023622047245" right="0.44" top="0.39370078740157483" bottom="0.19685039370078741" header="0.39370078740157483" footer="0.1574803149606299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pageSetUpPr fitToPage="1"/>
  </sheetPr>
  <dimension ref="A2:T224"/>
  <sheetViews>
    <sheetView view="pageBreakPreview" topLeftCell="F1" zoomScale="25" zoomScaleNormal="25" zoomScaleSheetLayoutView="25" zoomScalePageLayoutView="10" workbookViewId="0">
      <pane ySplit="12" topLeftCell="A143" activePane="bottomLeft" state="frozen"/>
      <selection activeCell="K153" sqref="K153"/>
      <selection pane="bottomLeft" activeCell="A7" sqref="A7:P7"/>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66.42578125" style="5" customWidth="1"/>
    <col min="6" max="6" width="58.5703125" style="1" customWidth="1"/>
    <col min="7" max="7" width="55.42578125" style="1" customWidth="1"/>
    <col min="8" max="8" width="48.140625" style="1" customWidth="1"/>
    <col min="9" max="9" width="41.85546875" style="1" customWidth="1"/>
    <col min="10" max="10" width="50.5703125" style="5" customWidth="1"/>
    <col min="11" max="11" width="52.5703125" style="5" customWidth="1"/>
    <col min="12" max="12" width="56.140625" style="1" customWidth="1"/>
    <col min="13" max="13" width="54.85546875" style="1" customWidth="1"/>
    <col min="14" max="14" width="45.28515625" style="1" bestFit="1" customWidth="1"/>
    <col min="15" max="15" width="56.140625" style="1" bestFit="1" customWidth="1"/>
    <col min="16" max="16" width="86.28515625" style="5" customWidth="1"/>
    <col min="17" max="17" width="52.140625" customWidth="1"/>
    <col min="18" max="18" width="66.42578125" bestFit="1" customWidth="1"/>
    <col min="20" max="20" width="24.7109375" bestFit="1" customWidth="1"/>
  </cols>
  <sheetData>
    <row r="2" spans="1:18" ht="45.75" x14ac:dyDescent="0.2">
      <c r="D2" s="7"/>
      <c r="E2" s="8"/>
      <c r="F2" s="9"/>
      <c r="G2" s="8"/>
      <c r="H2" s="8"/>
      <c r="I2" s="8"/>
      <c r="J2" s="8"/>
      <c r="K2" s="8"/>
      <c r="L2" s="8"/>
      <c r="M2" s="8"/>
      <c r="N2" s="470" t="s">
        <v>89</v>
      </c>
      <c r="O2" s="458"/>
      <c r="P2" s="458"/>
      <c r="Q2" s="458"/>
    </row>
    <row r="3" spans="1:18" ht="45.75" x14ac:dyDescent="0.2">
      <c r="A3" s="7"/>
      <c r="B3" s="7"/>
      <c r="C3" s="7"/>
      <c r="D3" s="7"/>
      <c r="E3" s="8"/>
      <c r="F3" s="9"/>
      <c r="G3" s="8"/>
      <c r="H3" s="8"/>
      <c r="I3" s="8"/>
      <c r="J3" s="8"/>
      <c r="K3" s="8"/>
      <c r="L3" s="8"/>
      <c r="M3" s="8"/>
      <c r="N3" s="470" t="s">
        <v>1019</v>
      </c>
      <c r="O3" s="471"/>
      <c r="P3" s="471"/>
      <c r="Q3" s="471"/>
    </row>
    <row r="4" spans="1:18" ht="40.700000000000003" customHeight="1" x14ac:dyDescent="0.2">
      <c r="A4" s="7"/>
      <c r="B4" s="7"/>
      <c r="C4" s="7"/>
      <c r="D4" s="7"/>
      <c r="E4" s="8"/>
      <c r="F4" s="9"/>
      <c r="G4" s="8"/>
      <c r="H4" s="8"/>
      <c r="I4" s="8"/>
      <c r="J4" s="8"/>
      <c r="K4" s="8"/>
      <c r="L4" s="8"/>
      <c r="M4" s="8"/>
      <c r="N4" s="8"/>
      <c r="O4" s="470"/>
      <c r="P4" s="472"/>
    </row>
    <row r="5" spans="1:18" ht="45.75" hidden="1" x14ac:dyDescent="0.2">
      <c r="A5" s="7"/>
      <c r="B5" s="7"/>
      <c r="C5" s="7"/>
      <c r="D5" s="7"/>
      <c r="E5" s="8"/>
      <c r="F5" s="9"/>
      <c r="G5" s="8"/>
      <c r="H5" s="8"/>
      <c r="I5" s="8"/>
      <c r="J5" s="8"/>
      <c r="K5" s="8"/>
      <c r="L5" s="8"/>
      <c r="M5" s="8"/>
      <c r="N5" s="8"/>
      <c r="O5" s="7"/>
      <c r="P5" s="9"/>
    </row>
    <row r="6" spans="1:18" ht="45" x14ac:dyDescent="0.2">
      <c r="A6" s="474" t="s">
        <v>88</v>
      </c>
      <c r="B6" s="474"/>
      <c r="C6" s="474"/>
      <c r="D6" s="474"/>
      <c r="E6" s="474"/>
      <c r="F6" s="474"/>
      <c r="G6" s="474"/>
      <c r="H6" s="474"/>
      <c r="I6" s="474"/>
      <c r="J6" s="474"/>
      <c r="K6" s="474"/>
      <c r="L6" s="474"/>
      <c r="M6" s="474"/>
      <c r="N6" s="474"/>
      <c r="O6" s="474"/>
      <c r="P6" s="474"/>
    </row>
    <row r="7" spans="1:18" ht="45" x14ac:dyDescent="0.2">
      <c r="A7" s="474" t="s">
        <v>639</v>
      </c>
      <c r="B7" s="474"/>
      <c r="C7" s="474"/>
      <c r="D7" s="474"/>
      <c r="E7" s="474"/>
      <c r="F7" s="474"/>
      <c r="G7" s="474"/>
      <c r="H7" s="474"/>
      <c r="I7" s="474"/>
      <c r="J7" s="474"/>
      <c r="K7" s="474"/>
      <c r="L7" s="474"/>
      <c r="M7" s="474"/>
      <c r="N7" s="474"/>
      <c r="O7" s="474"/>
      <c r="P7" s="474"/>
    </row>
    <row r="8" spans="1:18" ht="53.45" customHeight="1" x14ac:dyDescent="0.2">
      <c r="A8" s="8"/>
      <c r="B8" s="8"/>
      <c r="C8" s="8"/>
      <c r="D8" s="8"/>
      <c r="E8" s="8"/>
      <c r="F8" s="9"/>
      <c r="G8" s="8"/>
      <c r="H8" s="8"/>
      <c r="I8" s="8"/>
      <c r="J8" s="8"/>
      <c r="K8" s="8"/>
      <c r="L8" s="8"/>
      <c r="M8" s="8"/>
      <c r="N8" s="8"/>
      <c r="O8" s="8"/>
      <c r="P8" s="10" t="s">
        <v>640</v>
      </c>
    </row>
    <row r="9" spans="1:18" ht="62.45" customHeight="1" x14ac:dyDescent="0.2">
      <c r="A9" s="478" t="s">
        <v>29</v>
      </c>
      <c r="B9" s="478" t="s">
        <v>641</v>
      </c>
      <c r="C9" s="478" t="s">
        <v>648</v>
      </c>
      <c r="D9" s="478" t="s">
        <v>642</v>
      </c>
      <c r="E9" s="473" t="s">
        <v>25</v>
      </c>
      <c r="F9" s="473"/>
      <c r="G9" s="473"/>
      <c r="H9" s="473"/>
      <c r="I9" s="473"/>
      <c r="J9" s="483" t="s">
        <v>84</v>
      </c>
      <c r="K9" s="484"/>
      <c r="L9" s="484"/>
      <c r="M9" s="484"/>
      <c r="N9" s="484"/>
      <c r="O9" s="485"/>
      <c r="P9" s="473" t="s">
        <v>24</v>
      </c>
    </row>
    <row r="10" spans="1:18" ht="255" customHeight="1" x14ac:dyDescent="0.2">
      <c r="A10" s="479"/>
      <c r="B10" s="481"/>
      <c r="C10" s="481"/>
      <c r="D10" s="479"/>
      <c r="E10" s="475" t="s">
        <v>636</v>
      </c>
      <c r="F10" s="475" t="s">
        <v>85</v>
      </c>
      <c r="G10" s="475" t="s">
        <v>26</v>
      </c>
      <c r="H10" s="475"/>
      <c r="I10" s="475" t="s">
        <v>87</v>
      </c>
      <c r="J10" s="475" t="s">
        <v>636</v>
      </c>
      <c r="K10" s="475" t="s">
        <v>637</v>
      </c>
      <c r="L10" s="475" t="s">
        <v>85</v>
      </c>
      <c r="M10" s="475" t="s">
        <v>26</v>
      </c>
      <c r="N10" s="475"/>
      <c r="O10" s="475" t="s">
        <v>87</v>
      </c>
      <c r="P10" s="473"/>
    </row>
    <row r="11" spans="1:18" ht="135" x14ac:dyDescent="0.2">
      <c r="A11" s="480"/>
      <c r="B11" s="480"/>
      <c r="C11" s="480"/>
      <c r="D11" s="480"/>
      <c r="E11" s="475"/>
      <c r="F11" s="475"/>
      <c r="G11" s="185" t="s">
        <v>86</v>
      </c>
      <c r="H11" s="185" t="s">
        <v>28</v>
      </c>
      <c r="I11" s="475"/>
      <c r="J11" s="475"/>
      <c r="K11" s="475"/>
      <c r="L11" s="475"/>
      <c r="M11" s="185" t="s">
        <v>86</v>
      </c>
      <c r="N11" s="185" t="s">
        <v>28</v>
      </c>
      <c r="O11" s="475"/>
      <c r="P11" s="473"/>
    </row>
    <row r="12" spans="1:18" s="2" customFormat="1" ht="111" customHeight="1" x14ac:dyDescent="0.2">
      <c r="A12" s="11" t="s">
        <v>4</v>
      </c>
      <c r="B12" s="11" t="s">
        <v>5</v>
      </c>
      <c r="C12" s="11" t="s">
        <v>27</v>
      </c>
      <c r="D12" s="11" t="s">
        <v>7</v>
      </c>
      <c r="E12" s="11" t="s">
        <v>651</v>
      </c>
      <c r="F12" s="11" t="s">
        <v>652</v>
      </c>
      <c r="G12" s="11" t="s">
        <v>653</v>
      </c>
      <c r="H12" s="11" t="s">
        <v>654</v>
      </c>
      <c r="I12" s="11" t="s">
        <v>655</v>
      </c>
      <c r="J12" s="11" t="s">
        <v>656</v>
      </c>
      <c r="K12" s="11" t="s">
        <v>657</v>
      </c>
      <c r="L12" s="11" t="s">
        <v>658</v>
      </c>
      <c r="M12" s="11" t="s">
        <v>659</v>
      </c>
      <c r="N12" s="11" t="s">
        <v>660</v>
      </c>
      <c r="O12" s="11" t="s">
        <v>661</v>
      </c>
      <c r="P12" s="11" t="s">
        <v>662</v>
      </c>
    </row>
    <row r="13" spans="1:18" s="2" customFormat="1" ht="135" x14ac:dyDescent="0.2">
      <c r="A13" s="327" t="s">
        <v>228</v>
      </c>
      <c r="B13" s="327"/>
      <c r="C13" s="327"/>
      <c r="D13" s="328" t="s">
        <v>230</v>
      </c>
      <c r="E13" s="329">
        <f>E14</f>
        <v>92893478</v>
      </c>
      <c r="F13" s="329">
        <f t="shared" ref="F13:N13" si="0">F14</f>
        <v>92893478</v>
      </c>
      <c r="G13" s="329">
        <f t="shared" si="0"/>
        <v>56230600</v>
      </c>
      <c r="H13" s="329">
        <f t="shared" si="0"/>
        <v>2061640</v>
      </c>
      <c r="I13" s="329">
        <f t="shared" si="0"/>
        <v>0</v>
      </c>
      <c r="J13" s="329">
        <f t="shared" si="0"/>
        <v>12748940.039999999</v>
      </c>
      <c r="K13" s="329">
        <f t="shared" si="0"/>
        <v>9172679</v>
      </c>
      <c r="L13" s="329">
        <f t="shared" si="0"/>
        <v>3546261.04</v>
      </c>
      <c r="M13" s="329">
        <f t="shared" si="0"/>
        <v>0</v>
      </c>
      <c r="N13" s="329">
        <f t="shared" si="0"/>
        <v>0</v>
      </c>
      <c r="O13" s="329">
        <f>O14</f>
        <v>9202679</v>
      </c>
      <c r="P13" s="329">
        <f t="shared" ref="P13" si="1">P14</f>
        <v>105642418.03999999</v>
      </c>
    </row>
    <row r="14" spans="1:18" s="2" customFormat="1" ht="135" x14ac:dyDescent="0.2">
      <c r="A14" s="324" t="s">
        <v>229</v>
      </c>
      <c r="B14" s="324"/>
      <c r="C14" s="324"/>
      <c r="D14" s="325" t="s">
        <v>231</v>
      </c>
      <c r="E14" s="326">
        <f>SUM(E15:E24)</f>
        <v>92893478</v>
      </c>
      <c r="F14" s="326">
        <f t="shared" ref="F14:I14" si="2">SUM(F15:F24)</f>
        <v>92893478</v>
      </c>
      <c r="G14" s="326">
        <f t="shared" si="2"/>
        <v>56230600</v>
      </c>
      <c r="H14" s="326">
        <f t="shared" si="2"/>
        <v>2061640</v>
      </c>
      <c r="I14" s="326">
        <f t="shared" si="2"/>
        <v>0</v>
      </c>
      <c r="J14" s="326">
        <f t="shared" ref="J14:J19" si="3">L14+O14</f>
        <v>12748940.039999999</v>
      </c>
      <c r="K14" s="326">
        <f t="shared" ref="K14" si="4">SUM(K15:K24)</f>
        <v>9172679</v>
      </c>
      <c r="L14" s="326">
        <f t="shared" ref="L14" si="5">SUM(L15:L24)</f>
        <v>3546261.04</v>
      </c>
      <c r="M14" s="326">
        <f t="shared" ref="M14" si="6">SUM(M15:M24)</f>
        <v>0</v>
      </c>
      <c r="N14" s="326">
        <f t="shared" ref="N14" si="7">SUM(N15:N24)</f>
        <v>0</v>
      </c>
      <c r="O14" s="326">
        <f t="shared" ref="O14" si="8">SUM(O15:O24)</f>
        <v>9202679</v>
      </c>
      <c r="P14" s="326">
        <f>E14+J14</f>
        <v>105642418.03999999</v>
      </c>
      <c r="Q14" s="136" t="b">
        <f>P15+P16+P17+P18+P21+P22+P19+P23+P24=P14</f>
        <v>1</v>
      </c>
      <c r="R14" s="136" t="b">
        <f>K14='d5'!I6</f>
        <v>1</v>
      </c>
    </row>
    <row r="15" spans="1:18" ht="320.25" x14ac:dyDescent="0.2">
      <c r="A15" s="394" t="s">
        <v>331</v>
      </c>
      <c r="B15" s="394" t="s">
        <v>332</v>
      </c>
      <c r="C15" s="394" t="s">
        <v>333</v>
      </c>
      <c r="D15" s="394" t="s">
        <v>330</v>
      </c>
      <c r="E15" s="393">
        <f t="shared" ref="E15:E22" si="9">F15</f>
        <v>79687920</v>
      </c>
      <c r="F15" s="249">
        <f>((79041400)+23604)+622916</f>
        <v>79687920</v>
      </c>
      <c r="G15" s="249">
        <f>54985000+1245600</f>
        <v>56230600</v>
      </c>
      <c r="H15" s="249">
        <f>((2510600)+11000)-451000-3000-3000-160-2800</f>
        <v>2061640</v>
      </c>
      <c r="I15" s="249"/>
      <c r="J15" s="393">
        <f t="shared" si="3"/>
        <v>1078500</v>
      </c>
      <c r="K15" s="249">
        <f>((210000)+568500)+300000</f>
        <v>1078500</v>
      </c>
      <c r="L15" s="264"/>
      <c r="M15" s="265"/>
      <c r="N15" s="265"/>
      <c r="O15" s="266">
        <f>K15</f>
        <v>1078500</v>
      </c>
      <c r="P15" s="393">
        <f>+J15+E15</f>
        <v>80766420</v>
      </c>
      <c r="R15" s="136" t="b">
        <f>K15='d5'!I8</f>
        <v>1</v>
      </c>
    </row>
    <row r="16" spans="1:18" ht="91.5" x14ac:dyDescent="0.2">
      <c r="A16" s="394" t="s">
        <v>347</v>
      </c>
      <c r="B16" s="394" t="s">
        <v>71</v>
      </c>
      <c r="C16" s="394" t="s">
        <v>70</v>
      </c>
      <c r="D16" s="394" t="s">
        <v>348</v>
      </c>
      <c r="E16" s="393">
        <f t="shared" ref="E16:E19" si="10">F16</f>
        <v>2305000</v>
      </c>
      <c r="F16" s="311">
        <f>(1305000)+1000000</f>
        <v>2305000</v>
      </c>
      <c r="G16" s="311"/>
      <c r="H16" s="311"/>
      <c r="I16" s="311"/>
      <c r="J16" s="393">
        <f t="shared" si="3"/>
        <v>475727</v>
      </c>
      <c r="K16" s="311">
        <v>475727</v>
      </c>
      <c r="L16" s="311"/>
      <c r="M16" s="311"/>
      <c r="N16" s="311"/>
      <c r="O16" s="266">
        <f>K16</f>
        <v>475727</v>
      </c>
      <c r="P16" s="393">
        <f>E16+J16</f>
        <v>2780727</v>
      </c>
      <c r="R16" s="136"/>
    </row>
    <row r="17" spans="1:20" ht="91.5" x14ac:dyDescent="0.2">
      <c r="A17" s="394" t="s">
        <v>337</v>
      </c>
      <c r="B17" s="394" t="s">
        <v>338</v>
      </c>
      <c r="C17" s="394" t="s">
        <v>339</v>
      </c>
      <c r="D17" s="394" t="s">
        <v>336</v>
      </c>
      <c r="E17" s="393">
        <f t="shared" si="10"/>
        <v>3236400</v>
      </c>
      <c r="F17" s="311">
        <v>3236400</v>
      </c>
      <c r="G17" s="311">
        <f>H17+I17</f>
        <v>0</v>
      </c>
      <c r="H17" s="311"/>
      <c r="I17" s="311"/>
      <c r="J17" s="393">
        <f t="shared" si="3"/>
        <v>3500000</v>
      </c>
      <c r="K17" s="311">
        <f>(1500000)+2000000</f>
        <v>3500000</v>
      </c>
      <c r="L17" s="311"/>
      <c r="M17" s="311"/>
      <c r="N17" s="311"/>
      <c r="O17" s="266">
        <f>K17</f>
        <v>3500000</v>
      </c>
      <c r="P17" s="393">
        <f>+J17+E17</f>
        <v>6736400</v>
      </c>
      <c r="R17" s="136" t="b">
        <f>K17='d5'!I10</f>
        <v>1</v>
      </c>
    </row>
    <row r="18" spans="1:20" ht="137.25" x14ac:dyDescent="0.2">
      <c r="A18" s="394" t="s">
        <v>439</v>
      </c>
      <c r="B18" s="394" t="s">
        <v>440</v>
      </c>
      <c r="C18" s="394" t="s">
        <v>250</v>
      </c>
      <c r="D18" s="389" t="s">
        <v>438</v>
      </c>
      <c r="E18" s="393">
        <f t="shared" si="10"/>
        <v>161050</v>
      </c>
      <c r="F18" s="311">
        <f>165000-3950</f>
        <v>161050</v>
      </c>
      <c r="G18" s="311"/>
      <c r="H18" s="311"/>
      <c r="I18" s="311"/>
      <c r="J18" s="393">
        <f t="shared" si="3"/>
        <v>0</v>
      </c>
      <c r="K18" s="311"/>
      <c r="L18" s="311"/>
      <c r="M18" s="311"/>
      <c r="N18" s="311"/>
      <c r="O18" s="266">
        <f>K18</f>
        <v>0</v>
      </c>
      <c r="P18" s="393">
        <f>+J18+E18</f>
        <v>161050</v>
      </c>
      <c r="R18" s="136"/>
    </row>
    <row r="19" spans="1:20" s="118" customFormat="1" ht="409.5" x14ac:dyDescent="0.2">
      <c r="A19" s="476" t="s">
        <v>526</v>
      </c>
      <c r="B19" s="476" t="s">
        <v>525</v>
      </c>
      <c r="C19" s="476" t="s">
        <v>250</v>
      </c>
      <c r="D19" s="267" t="s">
        <v>536</v>
      </c>
      <c r="E19" s="486">
        <f t="shared" si="10"/>
        <v>0</v>
      </c>
      <c r="F19" s="482"/>
      <c r="G19" s="482"/>
      <c r="H19" s="482"/>
      <c r="I19" s="482"/>
      <c r="J19" s="488">
        <f t="shared" si="3"/>
        <v>3576261.04</v>
      </c>
      <c r="K19" s="482"/>
      <c r="L19" s="482">
        <f>((2225100)+643666.04)+543000+134495</f>
        <v>3546261.04</v>
      </c>
      <c r="M19" s="482"/>
      <c r="N19" s="482"/>
      <c r="O19" s="493">
        <f>(K19+50000)-20000</f>
        <v>30000</v>
      </c>
      <c r="P19" s="486">
        <f>E19+J19</f>
        <v>3576261.04</v>
      </c>
      <c r="Q19" s="216">
        <f>P19</f>
        <v>3576261.04</v>
      </c>
    </row>
    <row r="20" spans="1:20" s="118" customFormat="1" ht="137.25" x14ac:dyDescent="0.2">
      <c r="A20" s="477"/>
      <c r="B20" s="477"/>
      <c r="C20" s="477"/>
      <c r="D20" s="268" t="s">
        <v>537</v>
      </c>
      <c r="E20" s="487"/>
      <c r="F20" s="490"/>
      <c r="G20" s="490"/>
      <c r="H20" s="490"/>
      <c r="I20" s="490"/>
      <c r="J20" s="477"/>
      <c r="K20" s="477"/>
      <c r="L20" s="490"/>
      <c r="M20" s="490"/>
      <c r="N20" s="490"/>
      <c r="O20" s="495"/>
      <c r="P20" s="487"/>
    </row>
    <row r="21" spans="1:20" ht="91.5" x14ac:dyDescent="0.2">
      <c r="A21" s="394" t="s">
        <v>340</v>
      </c>
      <c r="B21" s="394" t="s">
        <v>341</v>
      </c>
      <c r="C21" s="394" t="s">
        <v>342</v>
      </c>
      <c r="D21" s="389" t="s">
        <v>343</v>
      </c>
      <c r="E21" s="393">
        <f>F21</f>
        <v>4573000</v>
      </c>
      <c r="F21" s="311">
        <f>((3515000)+130000)+928000</f>
        <v>4573000</v>
      </c>
      <c r="G21" s="311"/>
      <c r="H21" s="311"/>
      <c r="I21" s="311"/>
      <c r="J21" s="393">
        <f>L21+O21</f>
        <v>0</v>
      </c>
      <c r="K21" s="311"/>
      <c r="L21" s="311"/>
      <c r="M21" s="311"/>
      <c r="N21" s="311"/>
      <c r="O21" s="266">
        <f>K21</f>
        <v>0</v>
      </c>
      <c r="P21" s="393">
        <f>E21+J21</f>
        <v>4573000</v>
      </c>
    </row>
    <row r="22" spans="1:20" ht="274.5" x14ac:dyDescent="0.2">
      <c r="A22" s="394" t="s">
        <v>344</v>
      </c>
      <c r="B22" s="394" t="s">
        <v>345</v>
      </c>
      <c r="C22" s="394" t="s">
        <v>71</v>
      </c>
      <c r="D22" s="394" t="s">
        <v>346</v>
      </c>
      <c r="E22" s="393">
        <f t="shared" si="9"/>
        <v>190000</v>
      </c>
      <c r="F22" s="311">
        <v>190000</v>
      </c>
      <c r="G22" s="311"/>
      <c r="H22" s="311"/>
      <c r="I22" s="311"/>
      <c r="J22" s="393">
        <f>L22+O22</f>
        <v>0</v>
      </c>
      <c r="K22" s="311"/>
      <c r="L22" s="311"/>
      <c r="M22" s="311"/>
      <c r="N22" s="311"/>
      <c r="O22" s="266">
        <f>K22</f>
        <v>0</v>
      </c>
      <c r="P22" s="393">
        <f>E22+J22</f>
        <v>190000</v>
      </c>
    </row>
    <row r="23" spans="1:20" ht="91.5" x14ac:dyDescent="0.2">
      <c r="A23" s="394" t="s">
        <v>840</v>
      </c>
      <c r="B23" s="394" t="s">
        <v>587</v>
      </c>
      <c r="C23" s="394" t="s">
        <v>71</v>
      </c>
      <c r="D23" s="394" t="s">
        <v>588</v>
      </c>
      <c r="E23" s="393">
        <f t="shared" ref="E23:E24" si="11">F23</f>
        <v>0</v>
      </c>
      <c r="F23" s="311"/>
      <c r="G23" s="311"/>
      <c r="H23" s="311"/>
      <c r="I23" s="311"/>
      <c r="J23" s="393">
        <f t="shared" ref="J23:J24" si="12">L23+O23</f>
        <v>100000</v>
      </c>
      <c r="K23" s="311">
        <v>100000</v>
      </c>
      <c r="L23" s="311"/>
      <c r="M23" s="311"/>
      <c r="N23" s="311"/>
      <c r="O23" s="266">
        <f t="shared" ref="O23:O24" si="13">K23</f>
        <v>100000</v>
      </c>
      <c r="P23" s="393">
        <f t="shared" ref="P23:P24" si="14">E23+J23</f>
        <v>100000</v>
      </c>
      <c r="R23" s="136" t="b">
        <f>K23='d5'!I11</f>
        <v>1</v>
      </c>
    </row>
    <row r="24" spans="1:20" ht="183" x14ac:dyDescent="0.2">
      <c r="A24" s="394" t="s">
        <v>842</v>
      </c>
      <c r="B24" s="394" t="s">
        <v>843</v>
      </c>
      <c r="C24" s="394" t="s">
        <v>71</v>
      </c>
      <c r="D24" s="394" t="s">
        <v>841</v>
      </c>
      <c r="E24" s="393">
        <f t="shared" si="11"/>
        <v>2740108</v>
      </c>
      <c r="F24" s="311">
        <f>((2170108)+200000)+300000+70000</f>
        <v>2740108</v>
      </c>
      <c r="G24" s="311"/>
      <c r="H24" s="311"/>
      <c r="I24" s="311"/>
      <c r="J24" s="393">
        <f t="shared" si="12"/>
        <v>4018452</v>
      </c>
      <c r="K24" s="311">
        <f>(3518452)+500000</f>
        <v>4018452</v>
      </c>
      <c r="L24" s="311"/>
      <c r="M24" s="311"/>
      <c r="N24" s="311"/>
      <c r="O24" s="266">
        <f t="shared" si="13"/>
        <v>4018452</v>
      </c>
      <c r="P24" s="393">
        <f t="shared" si="14"/>
        <v>6758560</v>
      </c>
      <c r="R24" s="136" t="b">
        <f>K24='d5'!I14+'d5'!I12+'d5'!I13</f>
        <v>1</v>
      </c>
    </row>
    <row r="25" spans="1:20" ht="135" x14ac:dyDescent="0.2">
      <c r="A25" s="327" t="s">
        <v>232</v>
      </c>
      <c r="B25" s="327"/>
      <c r="C25" s="327"/>
      <c r="D25" s="328" t="s">
        <v>0</v>
      </c>
      <c r="E25" s="329">
        <f>E26</f>
        <v>1009891823.4</v>
      </c>
      <c r="F25" s="329">
        <f t="shared" ref="F25" si="15">F26</f>
        <v>1009891823.4</v>
      </c>
      <c r="G25" s="329">
        <f t="shared" ref="G25" si="16">G26</f>
        <v>666326424.39999998</v>
      </c>
      <c r="H25" s="329">
        <f>H26</f>
        <v>81536915</v>
      </c>
      <c r="I25" s="329">
        <f t="shared" ref="I25" si="17">I26</f>
        <v>0</v>
      </c>
      <c r="J25" s="329">
        <f>J26</f>
        <v>147440013.03999999</v>
      </c>
      <c r="K25" s="329">
        <f>K26</f>
        <v>42828398.039999999</v>
      </c>
      <c r="L25" s="329">
        <f>L26</f>
        <v>103434212.53</v>
      </c>
      <c r="M25" s="329">
        <f t="shared" ref="M25" si="18">M26</f>
        <v>27935261</v>
      </c>
      <c r="N25" s="329">
        <f>N26</f>
        <v>8627315.4000000004</v>
      </c>
      <c r="O25" s="329">
        <f>O26</f>
        <v>44005800.509999998</v>
      </c>
      <c r="P25" s="329">
        <f t="shared" ref="P25" si="19">P26</f>
        <v>1157331836.4400001</v>
      </c>
    </row>
    <row r="26" spans="1:20" ht="135" x14ac:dyDescent="0.2">
      <c r="A26" s="324" t="s">
        <v>233</v>
      </c>
      <c r="B26" s="324"/>
      <c r="C26" s="324"/>
      <c r="D26" s="325" t="s">
        <v>1</v>
      </c>
      <c r="E26" s="326">
        <f>SUM(E27:E38)</f>
        <v>1009891823.4</v>
      </c>
      <c r="F26" s="326">
        <f>SUM(F27:F38)</f>
        <v>1009891823.4</v>
      </c>
      <c r="G26" s="326">
        <f>SUM(G27:G38)</f>
        <v>666326424.39999998</v>
      </c>
      <c r="H26" s="326">
        <f>SUM(H27:H38)</f>
        <v>81536915</v>
      </c>
      <c r="I26" s="326">
        <f>SUM(I27:I38)</f>
        <v>0</v>
      </c>
      <c r="J26" s="326">
        <f>L26+O26</f>
        <v>147440013.03999999</v>
      </c>
      <c r="K26" s="326">
        <f>SUM(K27:K38)</f>
        <v>42828398.039999999</v>
      </c>
      <c r="L26" s="326">
        <f>SUM(L27:L38)</f>
        <v>103434212.53</v>
      </c>
      <c r="M26" s="326">
        <f>SUM(M27:M38)</f>
        <v>27935261</v>
      </c>
      <c r="N26" s="326">
        <f>SUM(N27:N38)</f>
        <v>8627315.4000000004</v>
      </c>
      <c r="O26" s="326">
        <f>SUM(O27:O38)</f>
        <v>44005800.509999998</v>
      </c>
      <c r="P26" s="326">
        <f t="shared" ref="P26:P34" si="20">E26+J26</f>
        <v>1157331836.4400001</v>
      </c>
      <c r="Q26" s="136" t="b">
        <f>P26=P27+P28+P29+P30+P31+P32+P33+P34+P36+P35+P38+P37</f>
        <v>1</v>
      </c>
      <c r="R26" s="136" t="b">
        <f>K26='d5'!I16</f>
        <v>1</v>
      </c>
    </row>
    <row r="27" spans="1:20" ht="46.5" x14ac:dyDescent="0.6">
      <c r="A27" s="394" t="s">
        <v>288</v>
      </c>
      <c r="B27" s="394" t="s">
        <v>289</v>
      </c>
      <c r="C27" s="394" t="s">
        <v>291</v>
      </c>
      <c r="D27" s="394" t="s">
        <v>292</v>
      </c>
      <c r="E27" s="393">
        <f>F27</f>
        <v>279390771</v>
      </c>
      <c r="F27" s="311">
        <f>(((165508870+36411952+4442800+121320+24563500+1338350+273720+18519120+1241048+6540100+35500+100000)+4545735+913000)+3274731+3051220+890796+496030+8642500+22300+208820+12652+36000+10000+25000+2384000+346000-3000000+26483+102843)-1003619-450000-240000</f>
        <v>279390771</v>
      </c>
      <c r="G27" s="311">
        <f>((165508870)+1966600+748360)+2684206+2501008+730163+406580+7160000-450000</f>
        <v>181255787</v>
      </c>
      <c r="H27" s="311">
        <f>((26559008)+2384000+346000)-1528000</f>
        <v>27761008</v>
      </c>
      <c r="I27" s="311"/>
      <c r="J27" s="393">
        <f t="shared" ref="J27:J35" si="21">L27+O27</f>
        <v>46551116</v>
      </c>
      <c r="K27" s="311">
        <f>((6653272)-500000+400000-292260+265777-295360+192517)+6750</f>
        <v>6430696</v>
      </c>
      <c r="L27" s="311">
        <f>39787420+197651+50465-10440-105090-7730-2000</f>
        <v>39910276</v>
      </c>
      <c r="M27" s="311">
        <f>(7603840)+197651</f>
        <v>7801491</v>
      </c>
      <c r="N27" s="311">
        <v>876470.92</v>
      </c>
      <c r="O27" s="266">
        <f>(K27+333000)-122856</f>
        <v>6640840</v>
      </c>
      <c r="P27" s="393">
        <f t="shared" si="20"/>
        <v>325941887</v>
      </c>
      <c r="Q27" s="14"/>
      <c r="R27" s="232" t="b">
        <f>K27='d5'!I17</f>
        <v>1</v>
      </c>
    </row>
    <row r="28" spans="1:20" ht="366" x14ac:dyDescent="0.55000000000000004">
      <c r="A28" s="394" t="s">
        <v>294</v>
      </c>
      <c r="B28" s="394" t="s">
        <v>290</v>
      </c>
      <c r="C28" s="394" t="s">
        <v>295</v>
      </c>
      <c r="D28" s="394" t="s">
        <v>612</v>
      </c>
      <c r="E28" s="393">
        <f t="shared" ref="E28:E33" si="22">F28</f>
        <v>566180242.39999998</v>
      </c>
      <c r="F28" s="311">
        <f>((566488460.4)+144832+139690+41202+384700-7068800+88000+57100+19234+72226+10000+26254+121000+166800+300000+100000+300000+178313+199999-3500000+648000-68114+17500-116668+290193+295000-178313+150000+3156560-1893940-572000)+2886700+622500+61019+137000+6660+70891-295000+78189+199637+44000+123496+26196+38355+62753+25193+19846+180383+105410+117860+114186+785800-1400000-600000+60000-300000-300000-72000+2398988-505048+1301300+188700</f>
        <v>566180242.39999998</v>
      </c>
      <c r="G28" s="311">
        <f>(((377515910+1668354)+4047428.4)+118715+114502+33768+315300-5032600-95628)+2886700+1301300</f>
        <v>382873749.39999998</v>
      </c>
      <c r="H28" s="311">
        <f>((42397676)-3500000+648000-572000)-1400000-600000</f>
        <v>36973676</v>
      </c>
      <c r="I28" s="311"/>
      <c r="J28" s="393">
        <f t="shared" si="21"/>
        <v>68291483.039999992</v>
      </c>
      <c r="K28" s="311">
        <f>((22878252.04)-280000+1000000+100000+360000+1751862+68114-17500+3156560+120000-360000-3156560+1893940-228000+1500000)-59900+17530-750000+147988+845777-38500+38500-750000-1893940</f>
        <v>26344123.039999999</v>
      </c>
      <c r="L28" s="311">
        <f>(41102910)-24983+139930+21929-79100-6000-6900-5780-8000-20300+61117</f>
        <v>41174823</v>
      </c>
      <c r="M28" s="311">
        <f>(13732800)+139930</f>
        <v>13872730</v>
      </c>
      <c r="N28" s="311">
        <v>1030656.03</v>
      </c>
      <c r="O28" s="266">
        <f>(K28+844450+24983)-35779-61117</f>
        <v>27116660.039999999</v>
      </c>
      <c r="P28" s="393">
        <f t="shared" si="20"/>
        <v>634471725.43999994</v>
      </c>
      <c r="Q28" s="14"/>
      <c r="R28" s="136" t="b">
        <f>K28='d5'!I18+'d5'!I19+'d5'!I20+'d5'!I21+'d5'!I24+'d5'!I23+'d5'!I22</f>
        <v>1</v>
      </c>
      <c r="T28" s="108"/>
    </row>
    <row r="29" spans="1:20" ht="366" x14ac:dyDescent="0.2">
      <c r="A29" s="394" t="s">
        <v>298</v>
      </c>
      <c r="B29" s="394" t="s">
        <v>297</v>
      </c>
      <c r="C29" s="394" t="s">
        <v>299</v>
      </c>
      <c r="D29" s="394" t="s">
        <v>32</v>
      </c>
      <c r="E29" s="393">
        <f t="shared" si="22"/>
        <v>16414878</v>
      </c>
      <c r="F29" s="311">
        <f>(((11987275+2637201+297700+3970+635400+74400+12000+1090080+19380+107800+5400+5000)+8400+14040)+16474+15860+3402+20048-211200+200+20048)-348000</f>
        <v>16414878</v>
      </c>
      <c r="G29" s="311">
        <f>(11987275)+13503+13005+2785+16430+20500+16430</f>
        <v>12069928</v>
      </c>
      <c r="H29" s="311">
        <f>(1223374)-300000</f>
        <v>923374</v>
      </c>
      <c r="I29" s="311"/>
      <c r="J29" s="393">
        <f t="shared" si="21"/>
        <v>89000</v>
      </c>
      <c r="K29" s="311">
        <f>(9000)+30000</f>
        <v>39000</v>
      </c>
      <c r="L29" s="311">
        <v>50000</v>
      </c>
      <c r="M29" s="311"/>
      <c r="N29" s="311">
        <v>29628</v>
      </c>
      <c r="O29" s="266">
        <f>K29</f>
        <v>39000</v>
      </c>
      <c r="P29" s="393">
        <f t="shared" si="20"/>
        <v>16503878</v>
      </c>
      <c r="R29" s="136" t="b">
        <f>K29='d5'!I25</f>
        <v>1</v>
      </c>
    </row>
    <row r="30" spans="1:20" ht="183" x14ac:dyDescent="0.2">
      <c r="A30" s="394" t="s">
        <v>300</v>
      </c>
      <c r="B30" s="394" t="s">
        <v>281</v>
      </c>
      <c r="C30" s="394" t="s">
        <v>269</v>
      </c>
      <c r="D30" s="394" t="s">
        <v>33</v>
      </c>
      <c r="E30" s="393">
        <f t="shared" si="22"/>
        <v>29471313</v>
      </c>
      <c r="F30" s="311">
        <f>((19190813+4221979+572200+13650+0+820000+23640+304700+1254870+46020+589810+263715+3840+30500+200)+400078)+492898+500400+742000</f>
        <v>29471313</v>
      </c>
      <c r="G30" s="311">
        <f>(19190813)+404015+509100</f>
        <v>20103928</v>
      </c>
      <c r="H30" s="311">
        <f>((2186576)+742000)-6415-7467-10616</f>
        <v>2904078</v>
      </c>
      <c r="I30" s="311"/>
      <c r="J30" s="393">
        <f t="shared" si="21"/>
        <v>8951670</v>
      </c>
      <c r="K30" s="311">
        <f>((18000+2000000+300000)+300000+60000)+1500000+60000</f>
        <v>4238000</v>
      </c>
      <c r="L30" s="311">
        <f>(4579670)+35000+8000-13000</f>
        <v>4609670</v>
      </c>
      <c r="M30" s="311">
        <f>(1037200)+35000</f>
        <v>1072200</v>
      </c>
      <c r="N30" s="311">
        <v>366037.45</v>
      </c>
      <c r="O30" s="266">
        <f>(K30+134000)-30000</f>
        <v>4342000</v>
      </c>
      <c r="P30" s="393">
        <f t="shared" si="20"/>
        <v>38422983</v>
      </c>
      <c r="R30" s="136" t="b">
        <f>K30='d5'!I26+'d5'!I27</f>
        <v>1</v>
      </c>
    </row>
    <row r="31" spans="1:20" ht="137.25" x14ac:dyDescent="0.2">
      <c r="A31" s="394" t="s">
        <v>301</v>
      </c>
      <c r="B31" s="394" t="s">
        <v>302</v>
      </c>
      <c r="C31" s="394" t="s">
        <v>303</v>
      </c>
      <c r="D31" s="394" t="s">
        <v>304</v>
      </c>
      <c r="E31" s="393">
        <f t="shared" si="22"/>
        <v>94366927</v>
      </c>
      <c r="F31" s="311">
        <f>(((55361620+12179557+98200+14420+3078726+14900+65640+8051698+582633+3183200+1360000+15250000+502876)+427000)+726388-2319488-2000000-58266)-2362687+49210+50000+61300+50000</f>
        <v>94366927</v>
      </c>
      <c r="G31" s="311">
        <f>(55361620)+595400-1557388</f>
        <v>54399632</v>
      </c>
      <c r="H31" s="311">
        <f>((13186731)+427000-58266)-1102210-80600-112600-265027</f>
        <v>11995028</v>
      </c>
      <c r="I31" s="311"/>
      <c r="J31" s="393">
        <f>L31+O31</f>
        <v>17791308</v>
      </c>
      <c r="K31" s="311">
        <f>((216557)+58266)+38700+100000</f>
        <v>413523</v>
      </c>
      <c r="L31" s="311">
        <f>(15728160-15000)-14521.47-15200-46000+1649625</f>
        <v>17287063.530000001</v>
      </c>
      <c r="M31" s="311">
        <f>(4054000)+935200</f>
        <v>4989200</v>
      </c>
      <c r="N31" s="311">
        <f>(6022813)+36000+69000+13000+180300</f>
        <v>6321113</v>
      </c>
      <c r="O31" s="266">
        <f>(K31+15000)+29721.47+46000</f>
        <v>504244.47</v>
      </c>
      <c r="P31" s="393">
        <f t="shared" si="20"/>
        <v>112158235</v>
      </c>
      <c r="R31" s="136" t="b">
        <f>K31='d5'!I28+'d5'!I29</f>
        <v>1</v>
      </c>
    </row>
    <row r="32" spans="1:20" ht="91.5" x14ac:dyDescent="0.2">
      <c r="A32" s="394" t="s">
        <v>306</v>
      </c>
      <c r="B32" s="394" t="s">
        <v>307</v>
      </c>
      <c r="C32" s="394" t="s">
        <v>308</v>
      </c>
      <c r="D32" s="394" t="s">
        <v>305</v>
      </c>
      <c r="E32" s="393">
        <f t="shared" si="22"/>
        <v>4618170</v>
      </c>
      <c r="F32" s="311">
        <f>((3056197+672364+210900+430000+3120+40000+126900+4845+57140+400+2500)+168622)+51282-206100</f>
        <v>4618170</v>
      </c>
      <c r="G32" s="311">
        <f>(3056197)+42034-158800</f>
        <v>2939431</v>
      </c>
      <c r="H32" s="311">
        <v>192737</v>
      </c>
      <c r="I32" s="311"/>
      <c r="J32" s="393">
        <f t="shared" si="21"/>
        <v>73740</v>
      </c>
      <c r="K32" s="311"/>
      <c r="L32" s="311">
        <v>73740</v>
      </c>
      <c r="M32" s="311"/>
      <c r="N32" s="311"/>
      <c r="O32" s="266">
        <f t="shared" ref="O32:O38" si="23">K32</f>
        <v>0</v>
      </c>
      <c r="P32" s="393">
        <f t="shared" si="20"/>
        <v>4691910</v>
      </c>
      <c r="R32" s="136"/>
    </row>
    <row r="33" spans="1:18" s="118" customFormat="1" ht="91.5" x14ac:dyDescent="0.2">
      <c r="A33" s="389" t="s">
        <v>491</v>
      </c>
      <c r="B33" s="389" t="s">
        <v>492</v>
      </c>
      <c r="C33" s="389" t="s">
        <v>308</v>
      </c>
      <c r="D33" s="389" t="s">
        <v>490</v>
      </c>
      <c r="E33" s="393">
        <f t="shared" si="22"/>
        <v>15312740</v>
      </c>
      <c r="F33" s="311">
        <f>((11912850+2620827+577800+1200+362900+12480+440620+8475+262150+2705+4360+400+3840+1416600)-1905368)+121901-598000+67000</f>
        <v>15312740</v>
      </c>
      <c r="G33" s="311">
        <f>((11912850+1161200)-1421200)+99919-490000</f>
        <v>11262769</v>
      </c>
      <c r="H33" s="311">
        <f>(689114)+67000</f>
        <v>756114</v>
      </c>
      <c r="I33" s="391"/>
      <c r="J33" s="393">
        <f t="shared" si="21"/>
        <v>352640</v>
      </c>
      <c r="K33" s="311">
        <f>(9000)+15000</f>
        <v>24000</v>
      </c>
      <c r="L33" s="311">
        <v>328640</v>
      </c>
      <c r="M33" s="311">
        <v>199640</v>
      </c>
      <c r="N33" s="311">
        <v>3410</v>
      </c>
      <c r="O33" s="266">
        <f t="shared" si="23"/>
        <v>24000</v>
      </c>
      <c r="P33" s="393">
        <f t="shared" si="20"/>
        <v>15665380</v>
      </c>
      <c r="R33" s="136" t="b">
        <f>K33='d5'!I30</f>
        <v>1</v>
      </c>
    </row>
    <row r="34" spans="1:18" s="118" customFormat="1" ht="91.5" x14ac:dyDescent="0.2">
      <c r="A34" s="389" t="s">
        <v>523</v>
      </c>
      <c r="B34" s="389" t="s">
        <v>524</v>
      </c>
      <c r="C34" s="389" t="s">
        <v>308</v>
      </c>
      <c r="D34" s="394" t="s">
        <v>522</v>
      </c>
      <c r="E34" s="390">
        <f>F34</f>
        <v>150770</v>
      </c>
      <c r="F34" s="391">
        <f>(148960)+1810</f>
        <v>150770</v>
      </c>
      <c r="G34" s="391"/>
      <c r="H34" s="391"/>
      <c r="I34" s="391"/>
      <c r="J34" s="393">
        <f t="shared" si="21"/>
        <v>0</v>
      </c>
      <c r="K34" s="391"/>
      <c r="L34" s="391"/>
      <c r="M34" s="391"/>
      <c r="N34" s="391"/>
      <c r="O34" s="266">
        <f t="shared" si="23"/>
        <v>0</v>
      </c>
      <c r="P34" s="393">
        <f t="shared" si="20"/>
        <v>150770</v>
      </c>
      <c r="R34" s="136"/>
    </row>
    <row r="35" spans="1:18" s="118" customFormat="1" ht="91.5" x14ac:dyDescent="0.2">
      <c r="A35" s="389" t="s">
        <v>797</v>
      </c>
      <c r="B35" s="389" t="s">
        <v>798</v>
      </c>
      <c r="C35" s="389" t="s">
        <v>308</v>
      </c>
      <c r="D35" s="394" t="s">
        <v>799</v>
      </c>
      <c r="E35" s="390">
        <f>F35</f>
        <v>2061012</v>
      </c>
      <c r="F35" s="391">
        <f>(2036012)+25000</f>
        <v>2061012</v>
      </c>
      <c r="G35" s="391">
        <f>1161200+260000</f>
        <v>1421200</v>
      </c>
      <c r="H35" s="391">
        <v>30900</v>
      </c>
      <c r="I35" s="391"/>
      <c r="J35" s="393">
        <f t="shared" si="21"/>
        <v>200000</v>
      </c>
      <c r="K35" s="391">
        <v>200000</v>
      </c>
      <c r="L35" s="391"/>
      <c r="M35" s="391"/>
      <c r="N35" s="391"/>
      <c r="O35" s="266">
        <f t="shared" si="23"/>
        <v>200000</v>
      </c>
      <c r="P35" s="393">
        <f t="shared" ref="P35:P38" si="24">E35+J35</f>
        <v>2261012</v>
      </c>
      <c r="R35" s="136"/>
    </row>
    <row r="36" spans="1:18" s="118" customFormat="1" ht="366" x14ac:dyDescent="0.2">
      <c r="A36" s="394" t="s">
        <v>801</v>
      </c>
      <c r="B36" s="394" t="s">
        <v>802</v>
      </c>
      <c r="C36" s="394" t="s">
        <v>273</v>
      </c>
      <c r="D36" s="394" t="s">
        <v>800</v>
      </c>
      <c r="E36" s="390">
        <f>F36</f>
        <v>1925000</v>
      </c>
      <c r="F36" s="391">
        <v>1925000</v>
      </c>
      <c r="G36" s="391"/>
      <c r="H36" s="391"/>
      <c r="I36" s="391"/>
      <c r="J36" s="393">
        <f>L36+O36</f>
        <v>0</v>
      </c>
      <c r="K36" s="391"/>
      <c r="L36" s="391"/>
      <c r="M36" s="391"/>
      <c r="N36" s="391"/>
      <c r="O36" s="266">
        <f>K36</f>
        <v>0</v>
      </c>
      <c r="P36" s="393">
        <f>E36+J36</f>
        <v>1925000</v>
      </c>
      <c r="R36" s="136"/>
    </row>
    <row r="37" spans="1:18" s="118" customFormat="1" ht="183" x14ac:dyDescent="0.2">
      <c r="A37" s="394" t="s">
        <v>975</v>
      </c>
      <c r="B37" s="394" t="s">
        <v>974</v>
      </c>
      <c r="C37" s="394" t="s">
        <v>285</v>
      </c>
      <c r="D37" s="394" t="s">
        <v>976</v>
      </c>
      <c r="E37" s="390">
        <f>F37</f>
        <v>0</v>
      </c>
      <c r="F37" s="391"/>
      <c r="G37" s="391"/>
      <c r="H37" s="391"/>
      <c r="I37" s="391"/>
      <c r="J37" s="393">
        <f>L37+O37</f>
        <v>1499056</v>
      </c>
      <c r="K37" s="391">
        <f>749056+750000</f>
        <v>1499056</v>
      </c>
      <c r="L37" s="391"/>
      <c r="M37" s="391"/>
      <c r="N37" s="391"/>
      <c r="O37" s="266">
        <f>K37</f>
        <v>1499056</v>
      </c>
      <c r="P37" s="393">
        <f>E37+J37</f>
        <v>1499056</v>
      </c>
      <c r="R37" s="136" t="b">
        <f>K37='d5'!I32</f>
        <v>1</v>
      </c>
    </row>
    <row r="38" spans="1:18" s="118" customFormat="1" ht="46.5" x14ac:dyDescent="0.2">
      <c r="A38" s="394" t="s">
        <v>310</v>
      </c>
      <c r="B38" s="394" t="s">
        <v>311</v>
      </c>
      <c r="C38" s="394" t="s">
        <v>312</v>
      </c>
      <c r="D38" s="394" t="s">
        <v>67</v>
      </c>
      <c r="E38" s="390">
        <f>F38</f>
        <v>0</v>
      </c>
      <c r="F38" s="391">
        <f>(2700000)-2700000</f>
        <v>0</v>
      </c>
      <c r="G38" s="391"/>
      <c r="H38" s="391"/>
      <c r="I38" s="391"/>
      <c r="J38" s="393">
        <f t="shared" ref="J38" si="25">L38+O38</f>
        <v>3640000</v>
      </c>
      <c r="K38" s="391">
        <f>(5000000)-848138-1751862+1440000+500000-700000</f>
        <v>3640000</v>
      </c>
      <c r="L38" s="391"/>
      <c r="M38" s="391"/>
      <c r="N38" s="391"/>
      <c r="O38" s="266">
        <f t="shared" si="23"/>
        <v>3640000</v>
      </c>
      <c r="P38" s="393">
        <f t="shared" si="24"/>
        <v>3640000</v>
      </c>
      <c r="R38" s="136" t="b">
        <f>K38='d5'!I33</f>
        <v>1</v>
      </c>
    </row>
    <row r="39" spans="1:18" ht="135" x14ac:dyDescent="0.2">
      <c r="A39" s="327" t="s">
        <v>234</v>
      </c>
      <c r="B39" s="327"/>
      <c r="C39" s="327"/>
      <c r="D39" s="328" t="s">
        <v>36</v>
      </c>
      <c r="E39" s="329">
        <f>E40</f>
        <v>365119496.38</v>
      </c>
      <c r="F39" s="329">
        <f t="shared" ref="F39" si="26">F40</f>
        <v>365119496.38</v>
      </c>
      <c r="G39" s="329">
        <f t="shared" ref="G39" si="27">G40</f>
        <v>3381100</v>
      </c>
      <c r="H39" s="329">
        <f>H40</f>
        <v>185867</v>
      </c>
      <c r="I39" s="329">
        <f t="shared" ref="I39" si="28">I40</f>
        <v>0</v>
      </c>
      <c r="J39" s="329">
        <f>J40</f>
        <v>36788378</v>
      </c>
      <c r="K39" s="329">
        <f>K40</f>
        <v>30192587</v>
      </c>
      <c r="L39" s="329">
        <f>L40</f>
        <v>5853391</v>
      </c>
      <c r="M39" s="329">
        <f t="shared" ref="M39" si="29">M40</f>
        <v>0</v>
      </c>
      <c r="N39" s="329">
        <f>N40</f>
        <v>0</v>
      </c>
      <c r="O39" s="329">
        <f>O40</f>
        <v>30934987</v>
      </c>
      <c r="P39" s="329">
        <f>P40</f>
        <v>401907874.38</v>
      </c>
    </row>
    <row r="40" spans="1:18" ht="135" x14ac:dyDescent="0.2">
      <c r="A40" s="324" t="s">
        <v>235</v>
      </c>
      <c r="B40" s="324"/>
      <c r="C40" s="324"/>
      <c r="D40" s="325" t="s">
        <v>59</v>
      </c>
      <c r="E40" s="326">
        <f>SUM(E41:E52)</f>
        <v>365119496.38</v>
      </c>
      <c r="F40" s="326">
        <f t="shared" ref="F40:H40" si="30">SUM(F41:F52)</f>
        <v>365119496.38</v>
      </c>
      <c r="G40" s="326">
        <f t="shared" si="30"/>
        <v>3381100</v>
      </c>
      <c r="H40" s="326">
        <f t="shared" si="30"/>
        <v>185867</v>
      </c>
      <c r="I40" s="326">
        <f>SUM(I41:I52)</f>
        <v>0</v>
      </c>
      <c r="J40" s="326">
        <f>L40+O40</f>
        <v>36788378</v>
      </c>
      <c r="K40" s="326">
        <f>SUM(K41:K52)</f>
        <v>30192587</v>
      </c>
      <c r="L40" s="326">
        <f t="shared" ref="L40:N40" si="31">SUM(L41:L52)</f>
        <v>5853391</v>
      </c>
      <c r="M40" s="326">
        <f t="shared" si="31"/>
        <v>0</v>
      </c>
      <c r="N40" s="326">
        <f t="shared" si="31"/>
        <v>0</v>
      </c>
      <c r="O40" s="326">
        <f>SUM(O41:O52)</f>
        <v>30934987</v>
      </c>
      <c r="P40" s="326">
        <f t="shared" ref="P40:P51" si="32">E40+J40</f>
        <v>401907874.38</v>
      </c>
      <c r="Q40" s="136" t="b">
        <f>P40=P42+P43+P44+P45+P46+P47+P48+P49+P50+P41+P51+P52</f>
        <v>1</v>
      </c>
      <c r="R40" s="136" t="b">
        <f>K40='d5'!I34</f>
        <v>1</v>
      </c>
    </row>
    <row r="41" spans="1:18" ht="228.75" x14ac:dyDescent="0.2">
      <c r="A41" s="394" t="s">
        <v>705</v>
      </c>
      <c r="B41" s="394" t="s">
        <v>335</v>
      </c>
      <c r="C41" s="394" t="s">
        <v>333</v>
      </c>
      <c r="D41" s="394" t="s">
        <v>334</v>
      </c>
      <c r="E41" s="393">
        <f>F41</f>
        <v>2257300</v>
      </c>
      <c r="F41" s="311">
        <f>(2501100)-243800</f>
        <v>2257300</v>
      </c>
      <c r="G41" s="311">
        <f>(1884600)-200800</f>
        <v>1683800</v>
      </c>
      <c r="H41" s="311">
        <v>101500</v>
      </c>
      <c r="I41" s="311"/>
      <c r="J41" s="393">
        <f t="shared" ref="J41:J51" si="33">L41+O41</f>
        <v>0</v>
      </c>
      <c r="K41" s="393"/>
      <c r="L41" s="393"/>
      <c r="M41" s="393"/>
      <c r="N41" s="393"/>
      <c r="O41" s="266">
        <f>K41</f>
        <v>0</v>
      </c>
      <c r="P41" s="393">
        <f t="shared" si="32"/>
        <v>2257300</v>
      </c>
      <c r="Q41" s="136"/>
      <c r="R41" s="136"/>
    </row>
    <row r="42" spans="1:18" ht="91.5" x14ac:dyDescent="0.2">
      <c r="A42" s="394" t="s">
        <v>313</v>
      </c>
      <c r="B42" s="394" t="s">
        <v>309</v>
      </c>
      <c r="C42" s="394" t="s">
        <v>314</v>
      </c>
      <c r="D42" s="394" t="s">
        <v>37</v>
      </c>
      <c r="E42" s="393">
        <f>F42</f>
        <v>201017642</v>
      </c>
      <c r="F42" s="311">
        <f>((((190671412+426500+500000)-3985900+13242930-25000+167700)+200)+50000-277700+77700+200000+1000000-1000000+169800)-150000-1200000+1200000-50000-652100+652100</f>
        <v>201017642</v>
      </c>
      <c r="G42" s="311"/>
      <c r="H42" s="311"/>
      <c r="I42" s="311"/>
      <c r="J42" s="393">
        <f t="shared" si="33"/>
        <v>21490734</v>
      </c>
      <c r="K42" s="311">
        <f>((12634714)+825600+352700+168400+1398400+160300+2700000+1108000+270000-37400)-226000-170000-50000-158000-225400+238139+38581</f>
        <v>19028034</v>
      </c>
      <c r="L42" s="311">
        <f>(4218000)-2055300</f>
        <v>2162700</v>
      </c>
      <c r="M42" s="311"/>
      <c r="N42" s="311"/>
      <c r="O42" s="266">
        <f>K42+300000</f>
        <v>19328034</v>
      </c>
      <c r="P42" s="393">
        <f t="shared" si="32"/>
        <v>222508376</v>
      </c>
      <c r="R42" s="136" t="b">
        <f>K42='d5'!I36+'d5'!I37+'d5'!I38</f>
        <v>1</v>
      </c>
    </row>
    <row r="43" spans="1:18" ht="137.25" x14ac:dyDescent="0.2">
      <c r="A43" s="394" t="s">
        <v>315</v>
      </c>
      <c r="B43" s="394" t="s">
        <v>316</v>
      </c>
      <c r="C43" s="394" t="s">
        <v>317</v>
      </c>
      <c r="D43" s="394" t="s">
        <v>318</v>
      </c>
      <c r="E43" s="393">
        <f t="shared" ref="E43:E46" si="34">F43</f>
        <v>59853500</v>
      </c>
      <c r="F43" s="311">
        <f>((59783500)+100000)-30000</f>
        <v>59853500</v>
      </c>
      <c r="G43" s="311"/>
      <c r="H43" s="311"/>
      <c r="I43" s="311"/>
      <c r="J43" s="393">
        <f t="shared" si="33"/>
        <v>472091</v>
      </c>
      <c r="K43" s="311">
        <v>126000</v>
      </c>
      <c r="L43" s="311">
        <f>(1038271)-692180</f>
        <v>346091</v>
      </c>
      <c r="M43" s="311"/>
      <c r="N43" s="311"/>
      <c r="O43" s="266">
        <f>K43</f>
        <v>126000</v>
      </c>
      <c r="P43" s="393">
        <f t="shared" si="32"/>
        <v>60325591</v>
      </c>
      <c r="R43" s="136" t="b">
        <f>K43='d5'!I39</f>
        <v>1</v>
      </c>
    </row>
    <row r="44" spans="1:18" ht="137.25" x14ac:dyDescent="0.2">
      <c r="A44" s="394" t="s">
        <v>319</v>
      </c>
      <c r="B44" s="394" t="s">
        <v>320</v>
      </c>
      <c r="C44" s="394" t="s">
        <v>321</v>
      </c>
      <c r="D44" s="394" t="s">
        <v>538</v>
      </c>
      <c r="E44" s="393">
        <f t="shared" si="34"/>
        <v>60725370</v>
      </c>
      <c r="F44" s="311">
        <f>(((57684870)+3985900-234000)+188600)-430000-470000</f>
        <v>60725370</v>
      </c>
      <c r="G44" s="311"/>
      <c r="H44" s="311"/>
      <c r="I44" s="311"/>
      <c r="J44" s="393">
        <f t="shared" si="33"/>
        <v>2706300</v>
      </c>
      <c r="K44" s="311">
        <f>939600-99000</f>
        <v>840600</v>
      </c>
      <c r="L44" s="311">
        <f>(5254900)-3731600</f>
        <v>1523300</v>
      </c>
      <c r="M44" s="311"/>
      <c r="N44" s="311"/>
      <c r="O44" s="266">
        <f>K44+342400</f>
        <v>1183000</v>
      </c>
      <c r="P44" s="393">
        <f t="shared" si="32"/>
        <v>63431670</v>
      </c>
      <c r="R44" s="136" t="b">
        <f>K44='d5'!I40</f>
        <v>1</v>
      </c>
    </row>
    <row r="45" spans="1:18" ht="91.5" x14ac:dyDescent="0.2">
      <c r="A45" s="394" t="s">
        <v>322</v>
      </c>
      <c r="B45" s="394" t="s">
        <v>323</v>
      </c>
      <c r="C45" s="394" t="s">
        <v>324</v>
      </c>
      <c r="D45" s="394" t="s">
        <v>325</v>
      </c>
      <c r="E45" s="393">
        <f t="shared" si="34"/>
        <v>9871950</v>
      </c>
      <c r="F45" s="311">
        <f>9871950-949000+949000</f>
        <v>9871950</v>
      </c>
      <c r="G45" s="311"/>
      <c r="H45" s="311"/>
      <c r="I45" s="311"/>
      <c r="J45" s="393">
        <f t="shared" si="33"/>
        <v>3499300</v>
      </c>
      <c r="K45" s="311">
        <f>1600000</f>
        <v>1600000</v>
      </c>
      <c r="L45" s="311">
        <f>(5397900)-3598600</f>
        <v>1799300</v>
      </c>
      <c r="M45" s="311"/>
      <c r="N45" s="311"/>
      <c r="O45" s="266">
        <f>K45+100000</f>
        <v>1700000</v>
      </c>
      <c r="P45" s="393">
        <f t="shared" si="32"/>
        <v>13371250</v>
      </c>
      <c r="R45" s="136" t="b">
        <f>K45='d5'!I41</f>
        <v>1</v>
      </c>
    </row>
    <row r="46" spans="1:18" ht="183" x14ac:dyDescent="0.2">
      <c r="A46" s="394" t="s">
        <v>326</v>
      </c>
      <c r="B46" s="389" t="s">
        <v>327</v>
      </c>
      <c r="C46" s="389" t="s">
        <v>539</v>
      </c>
      <c r="D46" s="394" t="s">
        <v>328</v>
      </c>
      <c r="E46" s="393">
        <f t="shared" si="34"/>
        <v>8952218</v>
      </c>
      <c r="F46" s="311">
        <f>((8891316)+60902)-280000+280000</f>
        <v>8952218</v>
      </c>
      <c r="G46" s="311"/>
      <c r="H46" s="311"/>
      <c r="I46" s="311"/>
      <c r="J46" s="393">
        <f t="shared" si="33"/>
        <v>0</v>
      </c>
      <c r="K46" s="311"/>
      <c r="L46" s="311"/>
      <c r="M46" s="311"/>
      <c r="N46" s="311"/>
      <c r="O46" s="266">
        <f t="shared" ref="O46:O52" si="35">K46</f>
        <v>0</v>
      </c>
      <c r="P46" s="393">
        <f t="shared" si="32"/>
        <v>8952218</v>
      </c>
      <c r="R46" s="136"/>
    </row>
    <row r="47" spans="1:18" ht="183" x14ac:dyDescent="0.2">
      <c r="A47" s="394" t="s">
        <v>577</v>
      </c>
      <c r="B47" s="394" t="s">
        <v>578</v>
      </c>
      <c r="C47" s="389" t="s">
        <v>329</v>
      </c>
      <c r="D47" s="269" t="s">
        <v>579</v>
      </c>
      <c r="E47" s="393">
        <f t="shared" ref="E47:E48" si="36">F47</f>
        <v>13244446.379999999</v>
      </c>
      <c r="F47" s="311">
        <f>((8972700)+4428046.38)-156300</f>
        <v>13244446.379999999</v>
      </c>
      <c r="G47" s="311"/>
      <c r="H47" s="311"/>
      <c r="I47" s="311"/>
      <c r="J47" s="393">
        <f t="shared" si="33"/>
        <v>0</v>
      </c>
      <c r="K47" s="311"/>
      <c r="L47" s="311"/>
      <c r="M47" s="311"/>
      <c r="N47" s="311"/>
      <c r="O47" s="266">
        <f t="shared" si="35"/>
        <v>0</v>
      </c>
      <c r="P47" s="393">
        <f t="shared" si="32"/>
        <v>13244446.379999999</v>
      </c>
      <c r="R47" s="136"/>
    </row>
    <row r="48" spans="1:18" ht="183" x14ac:dyDescent="0.2">
      <c r="A48" s="394" t="s">
        <v>582</v>
      </c>
      <c r="B48" s="394" t="s">
        <v>581</v>
      </c>
      <c r="C48" s="389" t="s">
        <v>329</v>
      </c>
      <c r="D48" s="269" t="s">
        <v>580</v>
      </c>
      <c r="E48" s="393">
        <f t="shared" si="36"/>
        <v>1966200</v>
      </c>
      <c r="F48" s="311">
        <f>(1734200)+232000</f>
        <v>1966200</v>
      </c>
      <c r="G48" s="311"/>
      <c r="H48" s="311"/>
      <c r="I48" s="311"/>
      <c r="J48" s="393">
        <f t="shared" si="33"/>
        <v>0</v>
      </c>
      <c r="K48" s="311"/>
      <c r="L48" s="311"/>
      <c r="M48" s="311"/>
      <c r="N48" s="311"/>
      <c r="O48" s="266">
        <f t="shared" si="35"/>
        <v>0</v>
      </c>
      <c r="P48" s="393">
        <f t="shared" si="32"/>
        <v>1966200</v>
      </c>
      <c r="R48" s="136"/>
    </row>
    <row r="49" spans="1:20" s="118" customFormat="1" ht="137.25" x14ac:dyDescent="0.2">
      <c r="A49" s="394" t="s">
        <v>495</v>
      </c>
      <c r="B49" s="394" t="s">
        <v>497</v>
      </c>
      <c r="C49" s="389" t="s">
        <v>329</v>
      </c>
      <c r="D49" s="269" t="s">
        <v>493</v>
      </c>
      <c r="E49" s="393">
        <f t="shared" ref="E49:E51" si="37">F49</f>
        <v>2314670</v>
      </c>
      <c r="F49" s="311">
        <f>(2416670)-102000</f>
        <v>2314670</v>
      </c>
      <c r="G49" s="311">
        <f>(1757300)-60000</f>
        <v>1697300</v>
      </c>
      <c r="H49" s="311">
        <f>((113600)+300)-30000+467</f>
        <v>84367</v>
      </c>
      <c r="I49" s="311"/>
      <c r="J49" s="393">
        <f t="shared" si="33"/>
        <v>129704</v>
      </c>
      <c r="K49" s="311">
        <f>167704-60000</f>
        <v>107704</v>
      </c>
      <c r="L49" s="311">
        <v>22000</v>
      </c>
      <c r="M49" s="311"/>
      <c r="N49" s="311"/>
      <c r="O49" s="266">
        <f t="shared" si="35"/>
        <v>107704</v>
      </c>
      <c r="P49" s="393">
        <f t="shared" si="32"/>
        <v>2444374</v>
      </c>
      <c r="R49" s="136" t="b">
        <f>K49='d5'!I42</f>
        <v>1</v>
      </c>
    </row>
    <row r="50" spans="1:20" s="118" customFormat="1" ht="91.5" x14ac:dyDescent="0.2">
      <c r="A50" s="394" t="s">
        <v>496</v>
      </c>
      <c r="B50" s="394" t="s">
        <v>498</v>
      </c>
      <c r="C50" s="389" t="s">
        <v>329</v>
      </c>
      <c r="D50" s="269" t="s">
        <v>494</v>
      </c>
      <c r="E50" s="393">
        <f t="shared" si="37"/>
        <v>4766200</v>
      </c>
      <c r="F50" s="311">
        <f>(((3360000)+949000+126200-949000+576000)+864000)-160000</f>
        <v>4766200</v>
      </c>
      <c r="G50" s="311"/>
      <c r="H50" s="311"/>
      <c r="I50" s="311"/>
      <c r="J50" s="393">
        <f t="shared" si="33"/>
        <v>0</v>
      </c>
      <c r="K50" s="311"/>
      <c r="L50" s="311"/>
      <c r="M50" s="311"/>
      <c r="N50" s="311"/>
      <c r="O50" s="266">
        <f t="shared" si="35"/>
        <v>0</v>
      </c>
      <c r="P50" s="393">
        <f t="shared" si="32"/>
        <v>4766200</v>
      </c>
      <c r="R50" s="136"/>
    </row>
    <row r="51" spans="1:20" s="118" customFormat="1" ht="91.5" x14ac:dyDescent="0.2">
      <c r="A51" s="394" t="s">
        <v>863</v>
      </c>
      <c r="B51" s="394" t="s">
        <v>287</v>
      </c>
      <c r="C51" s="394" t="s">
        <v>250</v>
      </c>
      <c r="D51" s="394" t="s">
        <v>57</v>
      </c>
      <c r="E51" s="393">
        <f t="shared" si="37"/>
        <v>0</v>
      </c>
      <c r="F51" s="311"/>
      <c r="G51" s="311"/>
      <c r="H51" s="311"/>
      <c r="I51" s="311"/>
      <c r="J51" s="393">
        <f t="shared" si="33"/>
        <v>6945492</v>
      </c>
      <c r="K51" s="311">
        <f>(((200000+600000+208200+167638+7587376+25000-208200-167638-1600000+130216)+390000+37400-500000-11300+11300+80000-390000+96000+192200+42000)-483400+75600+464000)-1800-4900-3500-4200+13500-135800+135800</f>
        <v>6945492</v>
      </c>
      <c r="L51" s="311"/>
      <c r="M51" s="311"/>
      <c r="N51" s="311"/>
      <c r="O51" s="266">
        <f t="shared" si="35"/>
        <v>6945492</v>
      </c>
      <c r="P51" s="393">
        <f t="shared" si="32"/>
        <v>6945492</v>
      </c>
      <c r="R51" s="136" t="b">
        <f>K51='d5'!I43+'d5'!I44+'d5'!I45</f>
        <v>1</v>
      </c>
    </row>
    <row r="52" spans="1:20" s="118" customFormat="1" ht="91.5" x14ac:dyDescent="0.2">
      <c r="A52" s="394" t="s">
        <v>865</v>
      </c>
      <c r="B52" s="394" t="s">
        <v>587</v>
      </c>
      <c r="C52" s="394" t="s">
        <v>71</v>
      </c>
      <c r="D52" s="394" t="s">
        <v>588</v>
      </c>
      <c r="E52" s="393">
        <f t="shared" ref="E52" si="38">F52</f>
        <v>150000</v>
      </c>
      <c r="F52" s="311">
        <f>(100000)+50000</f>
        <v>150000</v>
      </c>
      <c r="G52" s="311"/>
      <c r="H52" s="311"/>
      <c r="I52" s="311"/>
      <c r="J52" s="393">
        <f t="shared" ref="J52" si="39">L52+O52</f>
        <v>1544757</v>
      </c>
      <c r="K52" s="311">
        <f>(935992+218765)+390000</f>
        <v>1544757</v>
      </c>
      <c r="L52" s="311"/>
      <c r="M52" s="311"/>
      <c r="N52" s="311"/>
      <c r="O52" s="266">
        <f t="shared" si="35"/>
        <v>1544757</v>
      </c>
      <c r="P52" s="393">
        <f t="shared" ref="P52" si="40">E52+J52</f>
        <v>1694757</v>
      </c>
      <c r="R52" s="136" t="b">
        <f>K52='d5'!I46</f>
        <v>1</v>
      </c>
    </row>
    <row r="53" spans="1:20" ht="225" x14ac:dyDescent="0.2">
      <c r="A53" s="327" t="s">
        <v>236</v>
      </c>
      <c r="B53" s="327"/>
      <c r="C53" s="327"/>
      <c r="D53" s="328" t="s">
        <v>60</v>
      </c>
      <c r="E53" s="329">
        <f>E54</f>
        <v>710645361</v>
      </c>
      <c r="F53" s="329">
        <f t="shared" ref="F53" si="41">F54</f>
        <v>710645361</v>
      </c>
      <c r="G53" s="329">
        <f t="shared" ref="G53" si="42">G54</f>
        <v>46535797</v>
      </c>
      <c r="H53" s="329">
        <f>H54</f>
        <v>1725237</v>
      </c>
      <c r="I53" s="329">
        <f t="shared" ref="I53" si="43">I54</f>
        <v>0</v>
      </c>
      <c r="J53" s="329">
        <f>J54</f>
        <v>26234163.48</v>
      </c>
      <c r="K53" s="329">
        <f>K54</f>
        <v>25693258.48</v>
      </c>
      <c r="L53" s="329">
        <f>L54</f>
        <v>540905</v>
      </c>
      <c r="M53" s="329">
        <f t="shared" ref="M53" si="44">M54</f>
        <v>60000</v>
      </c>
      <c r="N53" s="329">
        <f>N54</f>
        <v>4000</v>
      </c>
      <c r="O53" s="329">
        <f>O54</f>
        <v>25693258.48</v>
      </c>
      <c r="P53" s="329">
        <f>P54</f>
        <v>736879524.48000002</v>
      </c>
    </row>
    <row r="54" spans="1:20" ht="225" x14ac:dyDescent="0.2">
      <c r="A54" s="324" t="s">
        <v>237</v>
      </c>
      <c r="B54" s="324"/>
      <c r="C54" s="324"/>
      <c r="D54" s="325" t="s">
        <v>61</v>
      </c>
      <c r="E54" s="326">
        <f>SUM(E55:E110)</f>
        <v>710645361</v>
      </c>
      <c r="F54" s="326">
        <f>SUM(F55:F110)</f>
        <v>710645361</v>
      </c>
      <c r="G54" s="326">
        <f>SUM(G55:G110)</f>
        <v>46535797</v>
      </c>
      <c r="H54" s="326">
        <f>SUM(H55:H110)</f>
        <v>1725237</v>
      </c>
      <c r="I54" s="326">
        <f>SUM(I55:I110)</f>
        <v>0</v>
      </c>
      <c r="J54" s="326">
        <f t="shared" ref="J54:J101" si="45">L54+O54</f>
        <v>26234163.48</v>
      </c>
      <c r="K54" s="326">
        <f>SUM(K55:K110)</f>
        <v>25693258.48</v>
      </c>
      <c r="L54" s="326">
        <f>SUM(L55:L110)</f>
        <v>540905</v>
      </c>
      <c r="M54" s="326">
        <f>SUM(M55:M110)</f>
        <v>60000</v>
      </c>
      <c r="N54" s="326">
        <f>SUM(N55:N110)</f>
        <v>4000</v>
      </c>
      <c r="O54" s="326">
        <f>SUM(O55:O110)</f>
        <v>25693258.48</v>
      </c>
      <c r="P54" s="326">
        <f t="shared" ref="P54:P84" si="46">E54+J54</f>
        <v>736879524.48000002</v>
      </c>
      <c r="Q54" s="146" t="b">
        <f>P54=P56+P57+P58+P59+P60+P61+P62+P63+P64+P65+P66+P67+P68+P69+P70+P71+P73+P74+P75+P76+P77+P78+P82+P83+P84+P85+P86+P87+P88+P89+P101+P104+P105+P106+P90+P108+P55+P109+P79+P72+P81+P91+P98+P107+P94</f>
        <v>1</v>
      </c>
      <c r="R54" s="147" t="b">
        <f>K54='d5'!I48</f>
        <v>1</v>
      </c>
      <c r="T54" s="146"/>
    </row>
    <row r="55" spans="1:20" ht="228.75" x14ac:dyDescent="0.2">
      <c r="A55" s="394" t="s">
        <v>704</v>
      </c>
      <c r="B55" s="394" t="s">
        <v>335</v>
      </c>
      <c r="C55" s="394" t="s">
        <v>333</v>
      </c>
      <c r="D55" s="394" t="s">
        <v>334</v>
      </c>
      <c r="E55" s="390">
        <f t="shared" ref="E55:E59" si="47">F55</f>
        <v>37245000</v>
      </c>
      <c r="F55" s="311">
        <f>(((35993100)+100000+100000+65000)+15000+25000+25000-66600+1600-49000)+1035900</f>
        <v>37245000</v>
      </c>
      <c r="G55" s="311">
        <f>(26800000)+1052600</f>
        <v>27852600</v>
      </c>
      <c r="H55" s="311">
        <f>((1006600)-66600+1600-49000)-80000</f>
        <v>812600</v>
      </c>
      <c r="I55" s="311"/>
      <c r="J55" s="393">
        <f t="shared" si="45"/>
        <v>499000</v>
      </c>
      <c r="K55" s="311">
        <f>(450000)+49000</f>
        <v>499000</v>
      </c>
      <c r="L55" s="311"/>
      <c r="M55" s="311"/>
      <c r="N55" s="311"/>
      <c r="O55" s="266">
        <f>K55</f>
        <v>499000</v>
      </c>
      <c r="P55" s="390">
        <f t="shared" si="46"/>
        <v>37744000</v>
      </c>
      <c r="Q55" s="146"/>
      <c r="R55" s="147" t="b">
        <f>K55='d5'!I49</f>
        <v>1</v>
      </c>
      <c r="T55" s="146"/>
    </row>
    <row r="56" spans="1:20" ht="183" x14ac:dyDescent="0.2">
      <c r="A56" s="389" t="s">
        <v>350</v>
      </c>
      <c r="B56" s="389" t="s">
        <v>351</v>
      </c>
      <c r="C56" s="389" t="s">
        <v>296</v>
      </c>
      <c r="D56" s="395" t="s">
        <v>349</v>
      </c>
      <c r="E56" s="390">
        <f t="shared" si="47"/>
        <v>81315555.920000002</v>
      </c>
      <c r="F56" s="391">
        <f>((70418585.58)+4499970.34)+6200000+197000</f>
        <v>81315555.920000002</v>
      </c>
      <c r="G56" s="391"/>
      <c r="H56" s="391"/>
      <c r="I56" s="391"/>
      <c r="J56" s="393">
        <f t="shared" si="45"/>
        <v>0</v>
      </c>
      <c r="K56" s="391"/>
      <c r="L56" s="391"/>
      <c r="M56" s="391"/>
      <c r="N56" s="391"/>
      <c r="O56" s="266">
        <f t="shared" ref="O56:O101" si="48">K56</f>
        <v>0</v>
      </c>
      <c r="P56" s="390">
        <f t="shared" si="46"/>
        <v>81315555.920000002</v>
      </c>
      <c r="R56" s="147"/>
    </row>
    <row r="57" spans="1:20" ht="183" x14ac:dyDescent="0.2">
      <c r="A57" s="271" t="s">
        <v>369</v>
      </c>
      <c r="B57" s="389" t="s">
        <v>370</v>
      </c>
      <c r="C57" s="389" t="s">
        <v>79</v>
      </c>
      <c r="D57" s="394" t="s">
        <v>8</v>
      </c>
      <c r="E57" s="256">
        <f t="shared" si="47"/>
        <v>73735644.079999998</v>
      </c>
      <c r="F57" s="311">
        <v>73735644.079999998</v>
      </c>
      <c r="G57" s="311"/>
      <c r="H57" s="311"/>
      <c r="I57" s="311"/>
      <c r="J57" s="393">
        <f t="shared" si="45"/>
        <v>0</v>
      </c>
      <c r="K57" s="391"/>
      <c r="L57" s="311"/>
      <c r="M57" s="311"/>
      <c r="N57" s="311"/>
      <c r="O57" s="266">
        <f t="shared" si="48"/>
        <v>0</v>
      </c>
      <c r="P57" s="393">
        <f t="shared" si="46"/>
        <v>73735644.079999998</v>
      </c>
      <c r="R57" s="147"/>
    </row>
    <row r="58" spans="1:20" ht="274.5" x14ac:dyDescent="0.2">
      <c r="A58" s="394" t="s">
        <v>372</v>
      </c>
      <c r="B58" s="394" t="s">
        <v>373</v>
      </c>
      <c r="C58" s="394" t="s">
        <v>296</v>
      </c>
      <c r="D58" s="250" t="s">
        <v>371</v>
      </c>
      <c r="E58" s="390">
        <f t="shared" si="47"/>
        <v>3000</v>
      </c>
      <c r="F58" s="391">
        <v>3000</v>
      </c>
      <c r="G58" s="391"/>
      <c r="H58" s="391"/>
      <c r="I58" s="391"/>
      <c r="J58" s="393">
        <f t="shared" si="45"/>
        <v>0</v>
      </c>
      <c r="K58" s="391"/>
      <c r="L58" s="391"/>
      <c r="M58" s="391"/>
      <c r="N58" s="391"/>
      <c r="O58" s="266">
        <f t="shared" si="48"/>
        <v>0</v>
      </c>
      <c r="P58" s="390">
        <f t="shared" si="46"/>
        <v>3000</v>
      </c>
      <c r="R58" s="147"/>
    </row>
    <row r="59" spans="1:20" ht="228.75" x14ac:dyDescent="0.2">
      <c r="A59" s="394" t="s">
        <v>374</v>
      </c>
      <c r="B59" s="394" t="s">
        <v>375</v>
      </c>
      <c r="C59" s="250">
        <v>1060</v>
      </c>
      <c r="D59" s="272" t="s">
        <v>19</v>
      </c>
      <c r="E59" s="393">
        <f t="shared" si="47"/>
        <v>46300</v>
      </c>
      <c r="F59" s="311">
        <f>44700+1600</f>
        <v>46300</v>
      </c>
      <c r="G59" s="311"/>
      <c r="H59" s="311"/>
      <c r="I59" s="311"/>
      <c r="J59" s="393">
        <f t="shared" si="45"/>
        <v>0</v>
      </c>
      <c r="K59" s="311"/>
      <c r="L59" s="311"/>
      <c r="M59" s="311"/>
      <c r="N59" s="311"/>
      <c r="O59" s="266">
        <f t="shared" si="48"/>
        <v>0</v>
      </c>
      <c r="P59" s="393">
        <f t="shared" si="46"/>
        <v>46300</v>
      </c>
      <c r="R59" s="147"/>
    </row>
    <row r="60" spans="1:20" s="118" customFormat="1" ht="137.25" x14ac:dyDescent="0.2">
      <c r="A60" s="389" t="s">
        <v>400</v>
      </c>
      <c r="B60" s="389" t="s">
        <v>401</v>
      </c>
      <c r="C60" s="389" t="s">
        <v>296</v>
      </c>
      <c r="D60" s="395" t="s">
        <v>402</v>
      </c>
      <c r="E60" s="390">
        <f>F60</f>
        <v>426970</v>
      </c>
      <c r="F60" s="391">
        <f>((322970)+190000)-86000</f>
        <v>426970</v>
      </c>
      <c r="G60" s="391"/>
      <c r="H60" s="391"/>
      <c r="I60" s="391"/>
      <c r="J60" s="393">
        <f t="shared" si="45"/>
        <v>100000</v>
      </c>
      <c r="K60" s="391">
        <v>100000</v>
      </c>
      <c r="L60" s="391"/>
      <c r="M60" s="391"/>
      <c r="N60" s="391"/>
      <c r="O60" s="266">
        <f t="shared" si="48"/>
        <v>100000</v>
      </c>
      <c r="P60" s="390">
        <f t="shared" si="46"/>
        <v>526970</v>
      </c>
      <c r="R60" s="147" t="b">
        <f>K60='d5'!I50</f>
        <v>1</v>
      </c>
    </row>
    <row r="61" spans="1:20" s="118" customFormat="1" ht="137.25" x14ac:dyDescent="0.2">
      <c r="A61" s="394" t="s">
        <v>403</v>
      </c>
      <c r="B61" s="394" t="s">
        <v>404</v>
      </c>
      <c r="C61" s="394" t="s">
        <v>297</v>
      </c>
      <c r="D61" s="394" t="s">
        <v>16</v>
      </c>
      <c r="E61" s="393">
        <f t="shared" ref="E61:E87" si="49">F61</f>
        <v>1365000</v>
      </c>
      <c r="F61" s="311">
        <f>((1360000)+50000)-45000</f>
        <v>1365000</v>
      </c>
      <c r="G61" s="311"/>
      <c r="H61" s="311"/>
      <c r="I61" s="311"/>
      <c r="J61" s="393">
        <f t="shared" si="45"/>
        <v>0</v>
      </c>
      <c r="K61" s="311"/>
      <c r="L61" s="311"/>
      <c r="M61" s="311"/>
      <c r="N61" s="311"/>
      <c r="O61" s="266">
        <f t="shared" si="48"/>
        <v>0</v>
      </c>
      <c r="P61" s="393">
        <f t="shared" si="46"/>
        <v>1365000</v>
      </c>
      <c r="R61" s="147"/>
    </row>
    <row r="62" spans="1:20" s="118" customFormat="1" ht="183" x14ac:dyDescent="0.2">
      <c r="A62" s="394" t="s">
        <v>406</v>
      </c>
      <c r="B62" s="394" t="s">
        <v>407</v>
      </c>
      <c r="C62" s="394" t="s">
        <v>297</v>
      </c>
      <c r="D62" s="389" t="s">
        <v>17</v>
      </c>
      <c r="E62" s="393">
        <f t="shared" si="49"/>
        <v>8000000</v>
      </c>
      <c r="F62" s="311">
        <v>8000000</v>
      </c>
      <c r="G62" s="311"/>
      <c r="H62" s="311"/>
      <c r="I62" s="311"/>
      <c r="J62" s="393">
        <f t="shared" si="45"/>
        <v>0</v>
      </c>
      <c r="K62" s="311"/>
      <c r="L62" s="311"/>
      <c r="M62" s="311"/>
      <c r="N62" s="311"/>
      <c r="O62" s="266">
        <f t="shared" si="48"/>
        <v>0</v>
      </c>
      <c r="P62" s="393">
        <f t="shared" si="46"/>
        <v>8000000</v>
      </c>
      <c r="R62" s="147"/>
    </row>
    <row r="63" spans="1:20" s="118" customFormat="1" ht="183" x14ac:dyDescent="0.2">
      <c r="A63" s="389" t="s">
        <v>408</v>
      </c>
      <c r="B63" s="389" t="s">
        <v>405</v>
      </c>
      <c r="C63" s="389" t="s">
        <v>297</v>
      </c>
      <c r="D63" s="389" t="s">
        <v>18</v>
      </c>
      <c r="E63" s="393">
        <f t="shared" si="49"/>
        <v>600000</v>
      </c>
      <c r="F63" s="311">
        <v>600000</v>
      </c>
      <c r="G63" s="311"/>
      <c r="H63" s="311"/>
      <c r="I63" s="311"/>
      <c r="J63" s="393">
        <f t="shared" si="45"/>
        <v>0</v>
      </c>
      <c r="K63" s="311"/>
      <c r="L63" s="311"/>
      <c r="M63" s="311"/>
      <c r="N63" s="311"/>
      <c r="O63" s="266">
        <f t="shared" si="48"/>
        <v>0</v>
      </c>
      <c r="P63" s="393">
        <f t="shared" si="46"/>
        <v>600000</v>
      </c>
      <c r="R63" s="147"/>
    </row>
    <row r="64" spans="1:20" s="118" customFormat="1" ht="183" x14ac:dyDescent="0.2">
      <c r="A64" s="389" t="s">
        <v>409</v>
      </c>
      <c r="B64" s="389" t="s">
        <v>410</v>
      </c>
      <c r="C64" s="389" t="s">
        <v>297</v>
      </c>
      <c r="D64" s="389" t="s">
        <v>21</v>
      </c>
      <c r="E64" s="393">
        <f t="shared" si="49"/>
        <v>91460181</v>
      </c>
      <c r="F64" s="311">
        <f>((82000000)+7000000)+1938181-800000+1322000</f>
        <v>91460181</v>
      </c>
      <c r="G64" s="311"/>
      <c r="H64" s="311"/>
      <c r="I64" s="311"/>
      <c r="J64" s="393">
        <f t="shared" si="45"/>
        <v>0</v>
      </c>
      <c r="K64" s="311"/>
      <c r="L64" s="311"/>
      <c r="M64" s="311"/>
      <c r="N64" s="311"/>
      <c r="O64" s="266">
        <f t="shared" si="48"/>
        <v>0</v>
      </c>
      <c r="P64" s="393">
        <f t="shared" si="46"/>
        <v>91460181</v>
      </c>
      <c r="R64" s="147"/>
    </row>
    <row r="65" spans="1:20" s="118" customFormat="1" ht="91.5" x14ac:dyDescent="0.2">
      <c r="A65" s="394" t="s">
        <v>360</v>
      </c>
      <c r="B65" s="394" t="s">
        <v>352</v>
      </c>
      <c r="C65" s="394" t="s">
        <v>273</v>
      </c>
      <c r="D65" s="394" t="s">
        <v>10</v>
      </c>
      <c r="E65" s="393">
        <f t="shared" si="49"/>
        <v>2814000</v>
      </c>
      <c r="F65" s="311">
        <v>2814000</v>
      </c>
      <c r="G65" s="311"/>
      <c r="H65" s="311"/>
      <c r="I65" s="311"/>
      <c r="J65" s="393">
        <f t="shared" si="45"/>
        <v>0</v>
      </c>
      <c r="K65" s="311"/>
      <c r="L65" s="311"/>
      <c r="M65" s="311"/>
      <c r="N65" s="311"/>
      <c r="O65" s="266">
        <f t="shared" si="48"/>
        <v>0</v>
      </c>
      <c r="P65" s="393">
        <f t="shared" si="46"/>
        <v>2814000</v>
      </c>
      <c r="R65" s="147"/>
    </row>
    <row r="66" spans="1:20" s="118" customFormat="1" ht="91.5" x14ac:dyDescent="0.2">
      <c r="A66" s="394" t="s">
        <v>361</v>
      </c>
      <c r="B66" s="394" t="s">
        <v>353</v>
      </c>
      <c r="C66" s="394" t="s">
        <v>273</v>
      </c>
      <c r="D66" s="394" t="s">
        <v>359</v>
      </c>
      <c r="E66" s="393">
        <f>F66</f>
        <v>571520</v>
      </c>
      <c r="F66" s="311">
        <f>(371520)+200000</f>
        <v>571520</v>
      </c>
      <c r="G66" s="311"/>
      <c r="H66" s="311"/>
      <c r="I66" s="311"/>
      <c r="J66" s="393">
        <f t="shared" si="45"/>
        <v>0</v>
      </c>
      <c r="K66" s="311"/>
      <c r="L66" s="311"/>
      <c r="M66" s="311"/>
      <c r="N66" s="311"/>
      <c r="O66" s="266">
        <f t="shared" si="48"/>
        <v>0</v>
      </c>
      <c r="P66" s="393">
        <f t="shared" si="46"/>
        <v>571520</v>
      </c>
      <c r="R66" s="147"/>
    </row>
    <row r="67" spans="1:20" s="118" customFormat="1" ht="91.5" x14ac:dyDescent="0.2">
      <c r="A67" s="394" t="s">
        <v>362</v>
      </c>
      <c r="B67" s="394" t="s">
        <v>354</v>
      </c>
      <c r="C67" s="394" t="s">
        <v>273</v>
      </c>
      <c r="D67" s="394" t="s">
        <v>11</v>
      </c>
      <c r="E67" s="393">
        <f t="shared" si="49"/>
        <v>135281196</v>
      </c>
      <c r="F67" s="311">
        <f>(157736000-225000-21813780)-416024</f>
        <v>135281196</v>
      </c>
      <c r="G67" s="311"/>
      <c r="H67" s="311"/>
      <c r="I67" s="311"/>
      <c r="J67" s="393">
        <f t="shared" si="45"/>
        <v>0</v>
      </c>
      <c r="K67" s="311"/>
      <c r="L67" s="311"/>
      <c r="M67" s="311"/>
      <c r="N67" s="311"/>
      <c r="O67" s="266">
        <f t="shared" si="48"/>
        <v>0</v>
      </c>
      <c r="P67" s="393">
        <f t="shared" si="46"/>
        <v>135281196</v>
      </c>
      <c r="R67" s="147"/>
    </row>
    <row r="68" spans="1:20" s="118" customFormat="1" ht="137.25" x14ac:dyDescent="0.2">
      <c r="A68" s="394" t="s">
        <v>363</v>
      </c>
      <c r="B68" s="394" t="s">
        <v>355</v>
      </c>
      <c r="C68" s="394" t="s">
        <v>273</v>
      </c>
      <c r="D68" s="394" t="s">
        <v>12</v>
      </c>
      <c r="E68" s="393">
        <f t="shared" si="49"/>
        <v>4266000</v>
      </c>
      <c r="F68" s="311">
        <v>4266000</v>
      </c>
      <c r="G68" s="311"/>
      <c r="H68" s="311"/>
      <c r="I68" s="311"/>
      <c r="J68" s="393">
        <f t="shared" si="45"/>
        <v>0</v>
      </c>
      <c r="K68" s="311"/>
      <c r="L68" s="311"/>
      <c r="M68" s="311"/>
      <c r="N68" s="311"/>
      <c r="O68" s="266">
        <f t="shared" si="48"/>
        <v>0</v>
      </c>
      <c r="P68" s="393">
        <f t="shared" si="46"/>
        <v>4266000</v>
      </c>
      <c r="R68" s="147"/>
    </row>
    <row r="69" spans="1:20" s="118" customFormat="1" ht="91.5" x14ac:dyDescent="0.2">
      <c r="A69" s="394" t="s">
        <v>364</v>
      </c>
      <c r="B69" s="394" t="s">
        <v>356</v>
      </c>
      <c r="C69" s="394" t="s">
        <v>273</v>
      </c>
      <c r="D69" s="394" t="s">
        <v>13</v>
      </c>
      <c r="E69" s="393">
        <f t="shared" si="49"/>
        <v>27062400</v>
      </c>
      <c r="F69" s="311">
        <v>27062400</v>
      </c>
      <c r="G69" s="311"/>
      <c r="H69" s="311"/>
      <c r="I69" s="311"/>
      <c r="J69" s="393">
        <f t="shared" si="45"/>
        <v>0</v>
      </c>
      <c r="K69" s="311"/>
      <c r="L69" s="311"/>
      <c r="M69" s="311"/>
      <c r="N69" s="311"/>
      <c r="O69" s="266">
        <f t="shared" si="48"/>
        <v>0</v>
      </c>
      <c r="P69" s="393">
        <f t="shared" si="46"/>
        <v>27062400</v>
      </c>
      <c r="R69" s="147"/>
    </row>
    <row r="70" spans="1:20" s="118" customFormat="1" ht="91.5" x14ac:dyDescent="0.2">
      <c r="A70" s="394" t="s">
        <v>365</v>
      </c>
      <c r="B70" s="394" t="s">
        <v>357</v>
      </c>
      <c r="C70" s="394" t="s">
        <v>273</v>
      </c>
      <c r="D70" s="394" t="s">
        <v>14</v>
      </c>
      <c r="E70" s="393">
        <f t="shared" si="49"/>
        <v>2700000</v>
      </c>
      <c r="F70" s="311">
        <v>2700000</v>
      </c>
      <c r="G70" s="311"/>
      <c r="H70" s="311"/>
      <c r="I70" s="311"/>
      <c r="J70" s="393">
        <f t="shared" si="45"/>
        <v>0</v>
      </c>
      <c r="K70" s="311"/>
      <c r="L70" s="311"/>
      <c r="M70" s="311"/>
      <c r="N70" s="311"/>
      <c r="O70" s="266">
        <f t="shared" si="48"/>
        <v>0</v>
      </c>
      <c r="P70" s="393">
        <f t="shared" si="46"/>
        <v>2700000</v>
      </c>
      <c r="R70" s="147"/>
    </row>
    <row r="71" spans="1:20" s="118" customFormat="1" ht="137.25" x14ac:dyDescent="0.2">
      <c r="A71" s="394" t="s">
        <v>366</v>
      </c>
      <c r="B71" s="394" t="s">
        <v>358</v>
      </c>
      <c r="C71" s="394" t="s">
        <v>273</v>
      </c>
      <c r="D71" s="394" t="s">
        <v>15</v>
      </c>
      <c r="E71" s="393">
        <f t="shared" si="49"/>
        <v>39337958</v>
      </c>
      <c r="F71" s="311">
        <v>39337958</v>
      </c>
      <c r="G71" s="311"/>
      <c r="H71" s="311"/>
      <c r="I71" s="311"/>
      <c r="J71" s="393">
        <f t="shared" si="45"/>
        <v>0</v>
      </c>
      <c r="K71" s="311"/>
      <c r="L71" s="311"/>
      <c r="M71" s="311"/>
      <c r="N71" s="311"/>
      <c r="O71" s="266">
        <f t="shared" si="48"/>
        <v>0</v>
      </c>
      <c r="P71" s="393">
        <f t="shared" si="46"/>
        <v>39337958</v>
      </c>
      <c r="R71" s="147"/>
    </row>
    <row r="72" spans="1:20" s="118" customFormat="1" ht="137.25" x14ac:dyDescent="0.2">
      <c r="A72" s="394" t="s">
        <v>883</v>
      </c>
      <c r="B72" s="394" t="s">
        <v>885</v>
      </c>
      <c r="C72" s="394" t="s">
        <v>273</v>
      </c>
      <c r="D72" s="394" t="s">
        <v>884</v>
      </c>
      <c r="E72" s="393">
        <f t="shared" si="49"/>
        <v>963000</v>
      </c>
      <c r="F72" s="311">
        <f>(572760)+390240</f>
        <v>963000</v>
      </c>
      <c r="G72" s="311"/>
      <c r="H72" s="311"/>
      <c r="I72" s="311"/>
      <c r="J72" s="393">
        <f t="shared" si="45"/>
        <v>0</v>
      </c>
      <c r="K72" s="311"/>
      <c r="L72" s="311"/>
      <c r="M72" s="311"/>
      <c r="N72" s="311"/>
      <c r="O72" s="266">
        <f t="shared" si="48"/>
        <v>0</v>
      </c>
      <c r="P72" s="393">
        <f t="shared" si="46"/>
        <v>963000</v>
      </c>
      <c r="R72" s="147"/>
    </row>
    <row r="73" spans="1:20" ht="183" x14ac:dyDescent="0.2">
      <c r="A73" s="394" t="s">
        <v>376</v>
      </c>
      <c r="B73" s="394" t="s">
        <v>367</v>
      </c>
      <c r="C73" s="394" t="s">
        <v>297</v>
      </c>
      <c r="D73" s="394" t="s">
        <v>9</v>
      </c>
      <c r="E73" s="393">
        <f t="shared" si="49"/>
        <v>179080</v>
      </c>
      <c r="F73" s="311">
        <v>179080</v>
      </c>
      <c r="G73" s="311"/>
      <c r="H73" s="311"/>
      <c r="I73" s="311"/>
      <c r="J73" s="393">
        <f t="shared" si="45"/>
        <v>0</v>
      </c>
      <c r="K73" s="393"/>
      <c r="L73" s="311"/>
      <c r="M73" s="311"/>
      <c r="N73" s="311"/>
      <c r="O73" s="266">
        <f t="shared" si="48"/>
        <v>0</v>
      </c>
      <c r="P73" s="393">
        <f t="shared" si="46"/>
        <v>179080</v>
      </c>
      <c r="R73" s="147"/>
    </row>
    <row r="74" spans="1:20" s="118" customFormat="1" ht="183" x14ac:dyDescent="0.2">
      <c r="A74" s="394" t="s">
        <v>543</v>
      </c>
      <c r="B74" s="394" t="s">
        <v>544</v>
      </c>
      <c r="C74" s="394" t="s">
        <v>289</v>
      </c>
      <c r="D74" s="394" t="s">
        <v>542</v>
      </c>
      <c r="E74" s="393">
        <f t="shared" ref="E74:E78" si="50">F74</f>
        <v>78472603.400000006</v>
      </c>
      <c r="F74" s="311">
        <v>78472603.400000006</v>
      </c>
      <c r="G74" s="311"/>
      <c r="H74" s="311"/>
      <c r="I74" s="311"/>
      <c r="J74" s="393">
        <f t="shared" si="45"/>
        <v>0</v>
      </c>
      <c r="K74" s="311"/>
      <c r="L74" s="311"/>
      <c r="M74" s="311"/>
      <c r="N74" s="311"/>
      <c r="O74" s="266">
        <f t="shared" si="48"/>
        <v>0</v>
      </c>
      <c r="P74" s="393">
        <f t="shared" si="46"/>
        <v>78472603.400000006</v>
      </c>
      <c r="R74" s="147"/>
    </row>
    <row r="75" spans="1:20" s="118" customFormat="1" ht="228.75" x14ac:dyDescent="0.2">
      <c r="A75" s="394" t="s">
        <v>600</v>
      </c>
      <c r="B75" s="394" t="s">
        <v>601</v>
      </c>
      <c r="C75" s="394" t="s">
        <v>289</v>
      </c>
      <c r="D75" s="394" t="s">
        <v>602</v>
      </c>
      <c r="E75" s="393">
        <f t="shared" ref="E75" si="51">F75</f>
        <v>25694626.600000001</v>
      </c>
      <c r="F75" s="311">
        <v>25694626.600000001</v>
      </c>
      <c r="G75" s="311"/>
      <c r="H75" s="311"/>
      <c r="I75" s="311"/>
      <c r="J75" s="393">
        <f t="shared" si="45"/>
        <v>0</v>
      </c>
      <c r="K75" s="311"/>
      <c r="L75" s="311"/>
      <c r="M75" s="311"/>
      <c r="N75" s="311"/>
      <c r="O75" s="266">
        <f t="shared" si="48"/>
        <v>0</v>
      </c>
      <c r="P75" s="393">
        <f t="shared" si="46"/>
        <v>25694626.600000001</v>
      </c>
      <c r="R75" s="147"/>
    </row>
    <row r="76" spans="1:20" s="118" customFormat="1" ht="183" x14ac:dyDescent="0.2">
      <c r="A76" s="394" t="s">
        <v>540</v>
      </c>
      <c r="B76" s="394" t="s">
        <v>541</v>
      </c>
      <c r="C76" s="394" t="s">
        <v>289</v>
      </c>
      <c r="D76" s="394" t="s">
        <v>499</v>
      </c>
      <c r="E76" s="393">
        <f t="shared" ref="E76:E77" si="52">F76</f>
        <v>13918200</v>
      </c>
      <c r="F76" s="311">
        <f>(14110200)-192000</f>
        <v>13918200</v>
      </c>
      <c r="G76" s="311"/>
      <c r="H76" s="311"/>
      <c r="I76" s="311"/>
      <c r="J76" s="393">
        <f t="shared" si="45"/>
        <v>0</v>
      </c>
      <c r="K76" s="311"/>
      <c r="L76" s="311"/>
      <c r="M76" s="311"/>
      <c r="N76" s="311"/>
      <c r="O76" s="266">
        <f t="shared" si="48"/>
        <v>0</v>
      </c>
      <c r="P76" s="393">
        <f t="shared" si="46"/>
        <v>13918200</v>
      </c>
      <c r="R76" s="147"/>
    </row>
    <row r="77" spans="1:20" s="118" customFormat="1" ht="274.5" x14ac:dyDescent="0.2">
      <c r="A77" s="394" t="s">
        <v>547</v>
      </c>
      <c r="B77" s="394" t="s">
        <v>548</v>
      </c>
      <c r="C77" s="394" t="s">
        <v>273</v>
      </c>
      <c r="D77" s="394" t="s">
        <v>549</v>
      </c>
      <c r="E77" s="393">
        <f t="shared" si="52"/>
        <v>1616024</v>
      </c>
      <c r="F77" s="311">
        <f>(1200000)+416024</f>
        <v>1616024</v>
      </c>
      <c r="G77" s="311"/>
      <c r="H77" s="311"/>
      <c r="I77" s="311"/>
      <c r="J77" s="393">
        <f t="shared" si="45"/>
        <v>0</v>
      </c>
      <c r="K77" s="311"/>
      <c r="L77" s="311"/>
      <c r="M77" s="311"/>
      <c r="N77" s="311"/>
      <c r="O77" s="266">
        <f t="shared" si="48"/>
        <v>0</v>
      </c>
      <c r="P77" s="393">
        <f t="shared" si="46"/>
        <v>1616024</v>
      </c>
      <c r="R77" s="147"/>
    </row>
    <row r="78" spans="1:20" s="118" customFormat="1" ht="320.25" x14ac:dyDescent="0.2">
      <c r="A78" s="394" t="s">
        <v>545</v>
      </c>
      <c r="B78" s="394" t="s">
        <v>546</v>
      </c>
      <c r="C78" s="394" t="s">
        <v>289</v>
      </c>
      <c r="D78" s="394" t="s">
        <v>550</v>
      </c>
      <c r="E78" s="393">
        <f t="shared" si="50"/>
        <v>289523.23</v>
      </c>
      <c r="F78" s="311">
        <f>(264192)+25331.23</f>
        <v>289523.23</v>
      </c>
      <c r="G78" s="311"/>
      <c r="H78" s="311"/>
      <c r="I78" s="311"/>
      <c r="J78" s="393">
        <f t="shared" si="45"/>
        <v>0</v>
      </c>
      <c r="K78" s="311"/>
      <c r="L78" s="311"/>
      <c r="M78" s="311"/>
      <c r="N78" s="311"/>
      <c r="O78" s="266">
        <f t="shared" si="48"/>
        <v>0</v>
      </c>
      <c r="P78" s="393">
        <f t="shared" si="46"/>
        <v>289523.23</v>
      </c>
      <c r="R78" s="147"/>
    </row>
    <row r="79" spans="1:20" s="118" customFormat="1" ht="364.7" customHeight="1" x14ac:dyDescent="0.65">
      <c r="A79" s="476" t="s">
        <v>870</v>
      </c>
      <c r="B79" s="476" t="s">
        <v>871</v>
      </c>
      <c r="C79" s="476" t="s">
        <v>273</v>
      </c>
      <c r="D79" s="273" t="s">
        <v>872</v>
      </c>
      <c r="E79" s="488">
        <f t="shared" ref="E79" si="53">F79</f>
        <v>249988</v>
      </c>
      <c r="F79" s="491">
        <v>249988</v>
      </c>
      <c r="G79" s="491"/>
      <c r="H79" s="491"/>
      <c r="I79" s="491"/>
      <c r="J79" s="488">
        <f t="shared" ref="J79" si="54">L79+O79</f>
        <v>0</v>
      </c>
      <c r="K79" s="491"/>
      <c r="L79" s="491"/>
      <c r="M79" s="491"/>
      <c r="N79" s="491"/>
      <c r="O79" s="491">
        <f t="shared" ref="O79" si="55">K79</f>
        <v>0</v>
      </c>
      <c r="P79" s="488">
        <f t="shared" ref="P79" si="56">E79+J79</f>
        <v>249988</v>
      </c>
      <c r="Q79" s="240">
        <f>E79</f>
        <v>249988</v>
      </c>
      <c r="R79" s="240">
        <f>J79</f>
        <v>0</v>
      </c>
      <c r="T79" s="240">
        <f>K79</f>
        <v>0</v>
      </c>
    </row>
    <row r="80" spans="1:20" s="118" customFormat="1" ht="334.5" customHeight="1" x14ac:dyDescent="0.2">
      <c r="A80" s="477"/>
      <c r="B80" s="477"/>
      <c r="C80" s="477"/>
      <c r="D80" s="274" t="s">
        <v>873</v>
      </c>
      <c r="E80" s="477"/>
      <c r="F80" s="477"/>
      <c r="G80" s="477"/>
      <c r="H80" s="477"/>
      <c r="I80" s="477"/>
      <c r="J80" s="498"/>
      <c r="K80" s="477"/>
      <c r="L80" s="477"/>
      <c r="M80" s="477"/>
      <c r="N80" s="477"/>
      <c r="O80" s="477"/>
      <c r="P80" s="498"/>
      <c r="R80" s="147"/>
    </row>
    <row r="81" spans="1:18" s="118" customFormat="1" ht="137.25" x14ac:dyDescent="0.2">
      <c r="A81" s="394" t="s">
        <v>904</v>
      </c>
      <c r="B81" s="394" t="s">
        <v>905</v>
      </c>
      <c r="C81" s="394" t="s">
        <v>273</v>
      </c>
      <c r="D81" s="394" t="s">
        <v>906</v>
      </c>
      <c r="E81" s="393">
        <f t="shared" ref="E81" si="57">F81</f>
        <v>20792460.77</v>
      </c>
      <c r="F81" s="311">
        <f>(21208032)-415571.23</f>
        <v>20792460.77</v>
      </c>
      <c r="G81" s="311"/>
      <c r="H81" s="311"/>
      <c r="I81" s="311"/>
      <c r="J81" s="393">
        <f t="shared" ref="J81" si="58">L81+O81</f>
        <v>0</v>
      </c>
      <c r="K81" s="393"/>
      <c r="L81" s="311"/>
      <c r="M81" s="311"/>
      <c r="N81" s="311"/>
      <c r="O81" s="266">
        <f t="shared" ref="O81" si="59">K81</f>
        <v>0</v>
      </c>
      <c r="P81" s="393">
        <f t="shared" ref="P81" si="60">E81+J81</f>
        <v>20792460.77</v>
      </c>
      <c r="R81" s="147"/>
    </row>
    <row r="82" spans="1:18" ht="163.5" customHeight="1" x14ac:dyDescent="0.2">
      <c r="A82" s="394" t="s">
        <v>377</v>
      </c>
      <c r="B82" s="394" t="s">
        <v>368</v>
      </c>
      <c r="C82" s="394" t="s">
        <v>296</v>
      </c>
      <c r="D82" s="394" t="s">
        <v>500</v>
      </c>
      <c r="E82" s="393">
        <f t="shared" si="49"/>
        <v>117846</v>
      </c>
      <c r="F82" s="311">
        <f>((117846)+34434)-34434</f>
        <v>117846</v>
      </c>
      <c r="G82" s="311"/>
      <c r="H82" s="311"/>
      <c r="I82" s="311"/>
      <c r="J82" s="393">
        <f t="shared" si="45"/>
        <v>0</v>
      </c>
      <c r="K82" s="393"/>
      <c r="L82" s="311"/>
      <c r="M82" s="311"/>
      <c r="N82" s="311"/>
      <c r="O82" s="266">
        <f t="shared" si="48"/>
        <v>0</v>
      </c>
      <c r="P82" s="393">
        <f t="shared" si="46"/>
        <v>117846</v>
      </c>
      <c r="R82" s="147"/>
    </row>
    <row r="83" spans="1:18" ht="301.7" customHeight="1" x14ac:dyDescent="0.2">
      <c r="A83" s="394" t="s">
        <v>398</v>
      </c>
      <c r="B83" s="394" t="s">
        <v>396</v>
      </c>
      <c r="C83" s="394" t="s">
        <v>290</v>
      </c>
      <c r="D83" s="394" t="s">
        <v>35</v>
      </c>
      <c r="E83" s="393">
        <f t="shared" si="49"/>
        <v>17952884</v>
      </c>
      <c r="F83" s="311">
        <f>((17332984)+652700)-32800</f>
        <v>17952884</v>
      </c>
      <c r="G83" s="311">
        <f>((11859350)+389900)+36000</f>
        <v>12285250</v>
      </c>
      <c r="H83" s="311">
        <f>(246362)-15000-10000</f>
        <v>221362</v>
      </c>
      <c r="I83" s="311"/>
      <c r="J83" s="393">
        <f t="shared" si="45"/>
        <v>311900</v>
      </c>
      <c r="K83" s="311">
        <f>((175000)+30000)-82860+80360</f>
        <v>202500</v>
      </c>
      <c r="L83" s="311">
        <v>109400</v>
      </c>
      <c r="M83" s="311">
        <v>60000</v>
      </c>
      <c r="N83" s="311">
        <v>4000</v>
      </c>
      <c r="O83" s="266">
        <f t="shared" si="48"/>
        <v>202500</v>
      </c>
      <c r="P83" s="393">
        <f t="shared" si="46"/>
        <v>18264784</v>
      </c>
      <c r="R83" s="147" t="b">
        <f>K83='d5'!I51</f>
        <v>1</v>
      </c>
    </row>
    <row r="84" spans="1:18" ht="137.25" x14ac:dyDescent="0.2">
      <c r="A84" s="394" t="s">
        <v>399</v>
      </c>
      <c r="B84" s="394" t="s">
        <v>397</v>
      </c>
      <c r="C84" s="394" t="s">
        <v>289</v>
      </c>
      <c r="D84" s="394" t="s">
        <v>501</v>
      </c>
      <c r="E84" s="393">
        <f t="shared" si="49"/>
        <v>5255264</v>
      </c>
      <c r="F84" s="311">
        <f>((5162423)+194900)-102059</f>
        <v>5255264</v>
      </c>
      <c r="G84" s="311">
        <f>((3617760)+20400)+11400-80000</f>
        <v>3569560</v>
      </c>
      <c r="H84" s="311">
        <f>(286789)+30941</f>
        <v>317730</v>
      </c>
      <c r="I84" s="311"/>
      <c r="J84" s="393">
        <f t="shared" si="45"/>
        <v>274250</v>
      </c>
      <c r="K84" s="311">
        <v>274250</v>
      </c>
      <c r="L84" s="311"/>
      <c r="M84" s="311"/>
      <c r="N84" s="311"/>
      <c r="O84" s="266">
        <f t="shared" si="48"/>
        <v>274250</v>
      </c>
      <c r="P84" s="393">
        <f t="shared" si="46"/>
        <v>5529514</v>
      </c>
      <c r="R84" s="147" t="b">
        <f>K84='d5'!I52</f>
        <v>1</v>
      </c>
    </row>
    <row r="85" spans="1:18" ht="409.5" x14ac:dyDescent="0.2">
      <c r="A85" s="394" t="s">
        <v>394</v>
      </c>
      <c r="B85" s="394" t="s">
        <v>395</v>
      </c>
      <c r="C85" s="394" t="s">
        <v>289</v>
      </c>
      <c r="D85" s="394" t="s">
        <v>502</v>
      </c>
      <c r="E85" s="393">
        <f t="shared" si="49"/>
        <v>1274600</v>
      </c>
      <c r="F85" s="311">
        <f>(1554600)-280000</f>
        <v>1274600</v>
      </c>
      <c r="G85" s="311"/>
      <c r="H85" s="311"/>
      <c r="I85" s="311"/>
      <c r="J85" s="393">
        <f t="shared" si="45"/>
        <v>0</v>
      </c>
      <c r="K85" s="393"/>
      <c r="L85" s="311"/>
      <c r="M85" s="311"/>
      <c r="N85" s="311"/>
      <c r="O85" s="266">
        <f t="shared" si="48"/>
        <v>0</v>
      </c>
      <c r="P85" s="393">
        <f>+J85+E85</f>
        <v>1274600</v>
      </c>
      <c r="R85" s="147"/>
    </row>
    <row r="86" spans="1:18" ht="274.5" x14ac:dyDescent="0.2">
      <c r="A86" s="394" t="s">
        <v>503</v>
      </c>
      <c r="B86" s="394" t="s">
        <v>504</v>
      </c>
      <c r="C86" s="394" t="s">
        <v>289</v>
      </c>
      <c r="D86" s="394" t="s">
        <v>551</v>
      </c>
      <c r="E86" s="393">
        <f t="shared" si="49"/>
        <v>135534</v>
      </c>
      <c r="F86" s="311">
        <v>135534</v>
      </c>
      <c r="G86" s="311"/>
      <c r="H86" s="311"/>
      <c r="I86" s="311"/>
      <c r="J86" s="393">
        <f t="shared" si="45"/>
        <v>0</v>
      </c>
      <c r="K86" s="311"/>
      <c r="L86" s="311"/>
      <c r="M86" s="311"/>
      <c r="N86" s="311"/>
      <c r="O86" s="266">
        <f t="shared" si="48"/>
        <v>0</v>
      </c>
      <c r="P86" s="393">
        <f>+J86+E86</f>
        <v>135534</v>
      </c>
      <c r="R86" s="147"/>
    </row>
    <row r="87" spans="1:18" ht="112.7" customHeight="1" x14ac:dyDescent="0.2">
      <c r="A87" s="394" t="s">
        <v>505</v>
      </c>
      <c r="B87" s="394" t="s">
        <v>506</v>
      </c>
      <c r="C87" s="394" t="s">
        <v>289</v>
      </c>
      <c r="D87" s="394" t="s">
        <v>552</v>
      </c>
      <c r="E87" s="393">
        <f t="shared" si="49"/>
        <v>168</v>
      </c>
      <c r="F87" s="311">
        <v>168</v>
      </c>
      <c r="G87" s="311"/>
      <c r="H87" s="311"/>
      <c r="I87" s="311"/>
      <c r="J87" s="393">
        <f t="shared" si="45"/>
        <v>0</v>
      </c>
      <c r="K87" s="311"/>
      <c r="L87" s="311"/>
      <c r="M87" s="311"/>
      <c r="N87" s="311"/>
      <c r="O87" s="266">
        <f t="shared" si="48"/>
        <v>0</v>
      </c>
      <c r="P87" s="393">
        <f>+J87+E87</f>
        <v>168</v>
      </c>
      <c r="R87" s="147"/>
    </row>
    <row r="88" spans="1:18" ht="366" x14ac:dyDescent="0.2">
      <c r="A88" s="394" t="s">
        <v>555</v>
      </c>
      <c r="B88" s="394" t="s">
        <v>554</v>
      </c>
      <c r="C88" s="394" t="s">
        <v>79</v>
      </c>
      <c r="D88" s="394" t="s">
        <v>553</v>
      </c>
      <c r="E88" s="393">
        <f t="shared" ref="E88" si="61">F88</f>
        <v>1808500</v>
      </c>
      <c r="F88" s="311">
        <v>1808500</v>
      </c>
      <c r="G88" s="311"/>
      <c r="H88" s="311"/>
      <c r="I88" s="311"/>
      <c r="J88" s="393">
        <f t="shared" si="45"/>
        <v>0</v>
      </c>
      <c r="K88" s="393"/>
      <c r="L88" s="311"/>
      <c r="M88" s="311"/>
      <c r="N88" s="311"/>
      <c r="O88" s="266">
        <f t="shared" si="48"/>
        <v>0</v>
      </c>
      <c r="P88" s="393">
        <f>E88+J88</f>
        <v>1808500</v>
      </c>
      <c r="R88" s="147"/>
    </row>
    <row r="89" spans="1:18" ht="228.75" x14ac:dyDescent="0.2">
      <c r="A89" s="394" t="s">
        <v>507</v>
      </c>
      <c r="B89" s="394" t="s">
        <v>508</v>
      </c>
      <c r="C89" s="394" t="s">
        <v>296</v>
      </c>
      <c r="D89" s="394" t="s">
        <v>556</v>
      </c>
      <c r="E89" s="393">
        <f t="shared" ref="E89:E105" si="62">F89</f>
        <v>625000</v>
      </c>
      <c r="F89" s="311">
        <f>(550000)+75000</f>
        <v>625000</v>
      </c>
      <c r="G89" s="311"/>
      <c r="H89" s="311"/>
      <c r="I89" s="311"/>
      <c r="J89" s="393">
        <f t="shared" si="45"/>
        <v>0</v>
      </c>
      <c r="K89" s="311"/>
      <c r="L89" s="311"/>
      <c r="M89" s="311"/>
      <c r="N89" s="311"/>
      <c r="O89" s="266">
        <f t="shared" si="48"/>
        <v>0</v>
      </c>
      <c r="P89" s="393">
        <f>E89+J89</f>
        <v>625000</v>
      </c>
      <c r="R89" s="147"/>
    </row>
    <row r="90" spans="1:18" ht="91.5" x14ac:dyDescent="0.2">
      <c r="A90" s="394" t="s">
        <v>766</v>
      </c>
      <c r="B90" s="394" t="s">
        <v>616</v>
      </c>
      <c r="C90" s="394" t="s">
        <v>617</v>
      </c>
      <c r="D90" s="394" t="s">
        <v>615</v>
      </c>
      <c r="E90" s="393">
        <f t="shared" ref="E90" si="63">F90</f>
        <v>311000</v>
      </c>
      <c r="F90" s="311">
        <f>(250000)+61000</f>
        <v>311000</v>
      </c>
      <c r="G90" s="311">
        <f>(205000)+50000</f>
        <v>255000</v>
      </c>
      <c r="H90" s="311"/>
      <c r="I90" s="311"/>
      <c r="J90" s="393">
        <f t="shared" si="45"/>
        <v>0</v>
      </c>
      <c r="K90" s="311"/>
      <c r="L90" s="311"/>
      <c r="M90" s="311"/>
      <c r="N90" s="311"/>
      <c r="O90" s="266">
        <f t="shared" si="48"/>
        <v>0</v>
      </c>
      <c r="P90" s="393">
        <f>E90+J90</f>
        <v>311000</v>
      </c>
      <c r="R90" s="147"/>
    </row>
    <row r="91" spans="1:18" s="255" customFormat="1" ht="409.5" x14ac:dyDescent="0.2">
      <c r="A91" s="476" t="s">
        <v>925</v>
      </c>
      <c r="B91" s="476" t="s">
        <v>926</v>
      </c>
      <c r="C91" s="476" t="s">
        <v>79</v>
      </c>
      <c r="D91" s="276" t="s">
        <v>927</v>
      </c>
      <c r="E91" s="488">
        <f t="shared" ref="E91" si="64">F91</f>
        <v>0</v>
      </c>
      <c r="F91" s="491"/>
      <c r="G91" s="491"/>
      <c r="H91" s="491"/>
      <c r="I91" s="491"/>
      <c r="J91" s="488">
        <f t="shared" ref="J91" si="65">L91+O91</f>
        <v>5371203.1200000001</v>
      </c>
      <c r="K91" s="491">
        <v>5371203.1200000001</v>
      </c>
      <c r="L91" s="491"/>
      <c r="M91" s="491"/>
      <c r="N91" s="491"/>
      <c r="O91" s="493">
        <f t="shared" ref="O91" si="66">K91</f>
        <v>5371203.1200000001</v>
      </c>
      <c r="P91" s="488">
        <f>E91+J91</f>
        <v>5371203.1200000001</v>
      </c>
      <c r="R91" s="499" t="b">
        <f>'d5'!I53=K91</f>
        <v>1</v>
      </c>
    </row>
    <row r="92" spans="1:18" s="255" customFormat="1" ht="409.5" x14ac:dyDescent="0.2">
      <c r="A92" s="492"/>
      <c r="B92" s="492"/>
      <c r="C92" s="492"/>
      <c r="D92" s="276" t="s">
        <v>928</v>
      </c>
      <c r="E92" s="492"/>
      <c r="F92" s="492"/>
      <c r="G92" s="492"/>
      <c r="H92" s="492"/>
      <c r="I92" s="492"/>
      <c r="J92" s="492"/>
      <c r="K92" s="492"/>
      <c r="L92" s="492"/>
      <c r="M92" s="492"/>
      <c r="N92" s="492"/>
      <c r="O92" s="494"/>
      <c r="P92" s="492"/>
      <c r="R92" s="500"/>
    </row>
    <row r="93" spans="1:18" s="255" customFormat="1" ht="409.5" x14ac:dyDescent="0.2">
      <c r="A93" s="477"/>
      <c r="B93" s="477"/>
      <c r="C93" s="477"/>
      <c r="D93" s="277" t="s">
        <v>929</v>
      </c>
      <c r="E93" s="477"/>
      <c r="F93" s="477"/>
      <c r="G93" s="477"/>
      <c r="H93" s="477"/>
      <c r="I93" s="477"/>
      <c r="J93" s="477"/>
      <c r="K93" s="477"/>
      <c r="L93" s="477"/>
      <c r="M93" s="477"/>
      <c r="N93" s="477"/>
      <c r="O93" s="495"/>
      <c r="P93" s="477"/>
      <c r="R93" s="500"/>
    </row>
    <row r="94" spans="1:18" s="337" customFormat="1" ht="409.5" x14ac:dyDescent="0.2">
      <c r="A94" s="507">
        <v>813222</v>
      </c>
      <c r="B94" s="507">
        <v>3222</v>
      </c>
      <c r="C94" s="507">
        <v>1060</v>
      </c>
      <c r="D94" s="339" t="s">
        <v>978</v>
      </c>
      <c r="E94" s="501">
        <f t="shared" ref="E94" si="67">F94</f>
        <v>0</v>
      </c>
      <c r="F94" s="491"/>
      <c r="G94" s="491"/>
      <c r="H94" s="491"/>
      <c r="I94" s="491"/>
      <c r="J94" s="488">
        <f t="shared" ref="J94" si="68">L94+O94</f>
        <v>854690</v>
      </c>
      <c r="K94" s="491">
        <v>854690</v>
      </c>
      <c r="L94" s="491"/>
      <c r="M94" s="491"/>
      <c r="N94" s="491"/>
      <c r="O94" s="493">
        <f t="shared" ref="O94" si="69">K94</f>
        <v>854690</v>
      </c>
      <c r="P94" s="488">
        <f>E94+J94</f>
        <v>854690</v>
      </c>
      <c r="R94" s="499" t="b">
        <f>K94='d5'!I56</f>
        <v>1</v>
      </c>
    </row>
    <row r="95" spans="1:18" s="337" customFormat="1" ht="409.5" x14ac:dyDescent="0.2">
      <c r="A95" s="504"/>
      <c r="B95" s="504"/>
      <c r="C95" s="504"/>
      <c r="D95" s="277" t="s">
        <v>979</v>
      </c>
      <c r="E95" s="503"/>
      <c r="F95" s="492"/>
      <c r="G95" s="492"/>
      <c r="H95" s="492"/>
      <c r="I95" s="492"/>
      <c r="J95" s="492"/>
      <c r="K95" s="492"/>
      <c r="L95" s="492"/>
      <c r="M95" s="492"/>
      <c r="N95" s="492"/>
      <c r="O95" s="494"/>
      <c r="P95" s="492"/>
      <c r="R95" s="500"/>
    </row>
    <row r="96" spans="1:18" s="337" customFormat="1" ht="409.5" x14ac:dyDescent="0.2">
      <c r="A96" s="504"/>
      <c r="B96" s="504"/>
      <c r="C96" s="504"/>
      <c r="D96" s="277" t="s">
        <v>980</v>
      </c>
      <c r="E96" s="503"/>
      <c r="F96" s="492"/>
      <c r="G96" s="492"/>
      <c r="H96" s="492"/>
      <c r="I96" s="492"/>
      <c r="J96" s="492"/>
      <c r="K96" s="492"/>
      <c r="L96" s="492"/>
      <c r="M96" s="492"/>
      <c r="N96" s="492"/>
      <c r="O96" s="494"/>
      <c r="P96" s="492"/>
      <c r="R96" s="500"/>
    </row>
    <row r="97" spans="1:18" s="337" customFormat="1" ht="183" x14ac:dyDescent="0.2">
      <c r="A97" s="505"/>
      <c r="B97" s="505"/>
      <c r="C97" s="505"/>
      <c r="D97" s="277" t="s">
        <v>981</v>
      </c>
      <c r="E97" s="503"/>
      <c r="F97" s="477"/>
      <c r="G97" s="477"/>
      <c r="H97" s="477"/>
      <c r="I97" s="477"/>
      <c r="J97" s="477"/>
      <c r="K97" s="477"/>
      <c r="L97" s="477"/>
      <c r="M97" s="477"/>
      <c r="N97" s="477"/>
      <c r="O97" s="495"/>
      <c r="P97" s="477"/>
      <c r="R97" s="500"/>
    </row>
    <row r="98" spans="1:18" s="255" customFormat="1" ht="409.5" x14ac:dyDescent="0.2">
      <c r="A98" s="476" t="s">
        <v>930</v>
      </c>
      <c r="B98" s="476" t="s">
        <v>931</v>
      </c>
      <c r="C98" s="476" t="s">
        <v>79</v>
      </c>
      <c r="D98" s="278" t="s">
        <v>932</v>
      </c>
      <c r="E98" s="488">
        <f t="shared" ref="E98" si="70">F98</f>
        <v>0</v>
      </c>
      <c r="F98" s="491"/>
      <c r="G98" s="491"/>
      <c r="H98" s="491"/>
      <c r="I98" s="491"/>
      <c r="J98" s="488">
        <f t="shared" ref="J98" si="71">L98+O98</f>
        <v>7952988.3600000003</v>
      </c>
      <c r="K98" s="491">
        <v>7952988.3600000003</v>
      </c>
      <c r="L98" s="491"/>
      <c r="M98" s="491"/>
      <c r="N98" s="491"/>
      <c r="O98" s="493">
        <f t="shared" ref="O98" si="72">K98</f>
        <v>7952988.3600000003</v>
      </c>
      <c r="P98" s="488">
        <f>E98+J98</f>
        <v>7952988.3600000003</v>
      </c>
      <c r="R98" s="499" t="b">
        <f>K98='d5'!I60</f>
        <v>1</v>
      </c>
    </row>
    <row r="99" spans="1:18" s="255" customFormat="1" ht="409.5" x14ac:dyDescent="0.2">
      <c r="A99" s="504"/>
      <c r="B99" s="504"/>
      <c r="C99" s="504"/>
      <c r="D99" s="277" t="s">
        <v>933</v>
      </c>
      <c r="E99" s="492"/>
      <c r="F99" s="492"/>
      <c r="G99" s="492"/>
      <c r="H99" s="492"/>
      <c r="I99" s="492"/>
      <c r="J99" s="492"/>
      <c r="K99" s="492"/>
      <c r="L99" s="492"/>
      <c r="M99" s="492"/>
      <c r="N99" s="492"/>
      <c r="O99" s="494"/>
      <c r="P99" s="492"/>
      <c r="R99" s="500"/>
    </row>
    <row r="100" spans="1:18" s="255" customFormat="1" ht="137.25" x14ac:dyDescent="0.2">
      <c r="A100" s="505"/>
      <c r="B100" s="505"/>
      <c r="C100" s="505"/>
      <c r="D100" s="277" t="s">
        <v>934</v>
      </c>
      <c r="E100" s="477"/>
      <c r="F100" s="477"/>
      <c r="G100" s="477"/>
      <c r="H100" s="477"/>
      <c r="I100" s="477"/>
      <c r="J100" s="477"/>
      <c r="K100" s="477"/>
      <c r="L100" s="477"/>
      <c r="M100" s="477"/>
      <c r="N100" s="477"/>
      <c r="O100" s="495"/>
      <c r="P100" s="477"/>
      <c r="R100" s="500"/>
    </row>
    <row r="101" spans="1:18" ht="409.5" x14ac:dyDescent="0.2">
      <c r="A101" s="476" t="s">
        <v>393</v>
      </c>
      <c r="B101" s="476" t="s">
        <v>280</v>
      </c>
      <c r="C101" s="506" t="s">
        <v>273</v>
      </c>
      <c r="D101" s="275" t="s">
        <v>509</v>
      </c>
      <c r="E101" s="501">
        <f>F101</f>
        <v>919538</v>
      </c>
      <c r="F101" s="491">
        <f>(1030700)-111162</f>
        <v>919538</v>
      </c>
      <c r="G101" s="491"/>
      <c r="H101" s="491"/>
      <c r="I101" s="491"/>
      <c r="J101" s="488">
        <f t="shared" si="45"/>
        <v>0</v>
      </c>
      <c r="K101" s="488"/>
      <c r="L101" s="491"/>
      <c r="M101" s="491"/>
      <c r="N101" s="491"/>
      <c r="O101" s="493">
        <f t="shared" si="48"/>
        <v>0</v>
      </c>
      <c r="P101" s="488">
        <f>E101+J101</f>
        <v>919538</v>
      </c>
      <c r="R101" s="147"/>
    </row>
    <row r="102" spans="1:18" ht="327.75" customHeight="1" x14ac:dyDescent="0.2">
      <c r="A102" s="492"/>
      <c r="B102" s="492"/>
      <c r="C102" s="503"/>
      <c r="D102" s="277" t="s">
        <v>778</v>
      </c>
      <c r="E102" s="502"/>
      <c r="F102" s="492"/>
      <c r="G102" s="492"/>
      <c r="H102" s="492"/>
      <c r="I102" s="492"/>
      <c r="J102" s="492"/>
      <c r="K102" s="492"/>
      <c r="L102" s="492"/>
      <c r="M102" s="492"/>
      <c r="N102" s="492"/>
      <c r="O102" s="494"/>
      <c r="P102" s="489"/>
      <c r="R102" s="147"/>
    </row>
    <row r="103" spans="1:18" ht="91.5" x14ac:dyDescent="0.2">
      <c r="A103" s="477"/>
      <c r="B103" s="477"/>
      <c r="C103" s="503"/>
      <c r="D103" s="274" t="s">
        <v>779</v>
      </c>
      <c r="E103" s="503"/>
      <c r="F103" s="477"/>
      <c r="G103" s="477"/>
      <c r="H103" s="477"/>
      <c r="I103" s="477"/>
      <c r="J103" s="477"/>
      <c r="K103" s="477"/>
      <c r="L103" s="477"/>
      <c r="M103" s="477"/>
      <c r="N103" s="477"/>
      <c r="O103" s="495"/>
      <c r="P103" s="477"/>
      <c r="R103" s="147"/>
    </row>
    <row r="104" spans="1:18" ht="183" x14ac:dyDescent="0.2">
      <c r="A104" s="394" t="s">
        <v>510</v>
      </c>
      <c r="B104" s="394" t="s">
        <v>512</v>
      </c>
      <c r="C104" s="394" t="s">
        <v>281</v>
      </c>
      <c r="D104" s="269" t="s">
        <v>514</v>
      </c>
      <c r="E104" s="393">
        <f t="shared" si="62"/>
        <v>5224975</v>
      </c>
      <c r="F104" s="311">
        <f>((4578467)+671008)-7500+7500-19000-13500-17000+25000</f>
        <v>5224975</v>
      </c>
      <c r="G104" s="249">
        <f>((2541439)+13948)+7500+10500</f>
        <v>2573387</v>
      </c>
      <c r="H104" s="249">
        <f>(379045)-13500-17000+25000</f>
        <v>373545</v>
      </c>
      <c r="I104" s="311"/>
      <c r="J104" s="393">
        <f t="shared" ref="J104:J109" si="73">L104+O104</f>
        <v>4297373</v>
      </c>
      <c r="K104" s="311">
        <f>(((1380000+650000)+874330)+300000+95000-300000+689000)-20000+20000+609043</f>
        <v>4297373</v>
      </c>
      <c r="L104" s="311"/>
      <c r="M104" s="311"/>
      <c r="N104" s="311"/>
      <c r="O104" s="266">
        <f t="shared" ref="O104:O109" si="74">K104</f>
        <v>4297373</v>
      </c>
      <c r="P104" s="393">
        <f t="shared" ref="P104:P109" si="75">E104+J104</f>
        <v>9522348</v>
      </c>
      <c r="R104" s="147" t="b">
        <f>K104='d5'!I63+'d5'!I64</f>
        <v>1</v>
      </c>
    </row>
    <row r="105" spans="1:18" ht="137.25" x14ac:dyDescent="0.2">
      <c r="A105" s="394" t="s">
        <v>511</v>
      </c>
      <c r="B105" s="394" t="s">
        <v>513</v>
      </c>
      <c r="C105" s="394" t="s">
        <v>281</v>
      </c>
      <c r="D105" s="269" t="s">
        <v>515</v>
      </c>
      <c r="E105" s="393">
        <f t="shared" si="62"/>
        <v>28613821</v>
      </c>
      <c r="F105" s="311">
        <f>(((23486540)+199000)+561000+24836+46500+673400+7500+420100+52500-1000000+3000000+134495)+1007950</f>
        <v>28613821</v>
      </c>
      <c r="G105" s="311"/>
      <c r="H105" s="311"/>
      <c r="I105" s="311"/>
      <c r="J105" s="393">
        <f t="shared" si="73"/>
        <v>419000</v>
      </c>
      <c r="K105" s="311">
        <f>(220000)+199000</f>
        <v>419000</v>
      </c>
      <c r="L105" s="311"/>
      <c r="M105" s="311"/>
      <c r="N105" s="311"/>
      <c r="O105" s="266">
        <f t="shared" si="74"/>
        <v>419000</v>
      </c>
      <c r="P105" s="393">
        <f t="shared" si="75"/>
        <v>29032821</v>
      </c>
      <c r="R105" s="147" t="b">
        <f>K105='d5'!I66+'d5'!I65</f>
        <v>1</v>
      </c>
    </row>
    <row r="106" spans="1:18" ht="137.25" x14ac:dyDescent="0.2">
      <c r="A106" s="394" t="s">
        <v>593</v>
      </c>
      <c r="B106" s="394" t="s">
        <v>591</v>
      </c>
      <c r="C106" s="394" t="s">
        <v>529</v>
      </c>
      <c r="D106" s="269" t="s">
        <v>592</v>
      </c>
      <c r="E106" s="393">
        <f t="shared" ref="E106:E109" si="76">F106</f>
        <v>0</v>
      </c>
      <c r="F106" s="311"/>
      <c r="G106" s="311"/>
      <c r="H106" s="311"/>
      <c r="I106" s="311"/>
      <c r="J106" s="393">
        <f t="shared" si="73"/>
        <v>3191964</v>
      </c>
      <c r="K106" s="311">
        <f>((3500000)-258036)-50000</f>
        <v>3191964</v>
      </c>
      <c r="L106" s="311"/>
      <c r="M106" s="311"/>
      <c r="N106" s="311"/>
      <c r="O106" s="266">
        <f t="shared" si="74"/>
        <v>3191964</v>
      </c>
      <c r="P106" s="393">
        <f t="shared" si="75"/>
        <v>3191964</v>
      </c>
      <c r="R106" s="147" t="b">
        <f>K106='d5'!I67</f>
        <v>1</v>
      </c>
    </row>
    <row r="107" spans="1:18" s="292" customFormat="1" ht="409.5" x14ac:dyDescent="0.2">
      <c r="A107" s="394" t="s">
        <v>960</v>
      </c>
      <c r="B107" s="394" t="s">
        <v>961</v>
      </c>
      <c r="C107" s="394" t="s">
        <v>529</v>
      </c>
      <c r="D107" s="269" t="s">
        <v>959</v>
      </c>
      <c r="E107" s="393">
        <f t="shared" ref="E107" si="77">F107</f>
        <v>0</v>
      </c>
      <c r="F107" s="311"/>
      <c r="G107" s="311"/>
      <c r="H107" s="311"/>
      <c r="I107" s="311"/>
      <c r="J107" s="393">
        <f t="shared" si="73"/>
        <v>530290</v>
      </c>
      <c r="K107" s="311">
        <v>530290</v>
      </c>
      <c r="L107" s="311"/>
      <c r="M107" s="311"/>
      <c r="N107" s="311"/>
      <c r="O107" s="266">
        <f t="shared" si="74"/>
        <v>530290</v>
      </c>
      <c r="P107" s="393">
        <f t="shared" si="75"/>
        <v>530290</v>
      </c>
      <c r="R107" s="293" t="b">
        <f>K107='d5'!I68</f>
        <v>1</v>
      </c>
    </row>
    <row r="108" spans="1:18" ht="91.5" x14ac:dyDescent="0.2">
      <c r="A108" s="394" t="s">
        <v>686</v>
      </c>
      <c r="B108" s="394" t="s">
        <v>687</v>
      </c>
      <c r="C108" s="394" t="s">
        <v>444</v>
      </c>
      <c r="D108" s="269" t="s">
        <v>688</v>
      </c>
      <c r="E108" s="393">
        <f t="shared" si="76"/>
        <v>0</v>
      </c>
      <c r="F108" s="311"/>
      <c r="G108" s="311"/>
      <c r="H108" s="311"/>
      <c r="I108" s="311"/>
      <c r="J108" s="393">
        <f t="shared" si="73"/>
        <v>2000000</v>
      </c>
      <c r="K108" s="311">
        <f>(1000000)+1000000</f>
        <v>2000000</v>
      </c>
      <c r="L108" s="311"/>
      <c r="M108" s="311"/>
      <c r="N108" s="311"/>
      <c r="O108" s="266">
        <f t="shared" si="74"/>
        <v>2000000</v>
      </c>
      <c r="P108" s="393">
        <f t="shared" si="75"/>
        <v>2000000</v>
      </c>
      <c r="R108" s="147" t="b">
        <f>K108='d5'!I69</f>
        <v>1</v>
      </c>
    </row>
    <row r="109" spans="1:18" ht="409.5" x14ac:dyDescent="0.2">
      <c r="A109" s="476" t="s">
        <v>723</v>
      </c>
      <c r="B109" s="476" t="s">
        <v>525</v>
      </c>
      <c r="C109" s="476" t="s">
        <v>250</v>
      </c>
      <c r="D109" s="267" t="s">
        <v>536</v>
      </c>
      <c r="E109" s="486">
        <f t="shared" si="76"/>
        <v>0</v>
      </c>
      <c r="F109" s="482"/>
      <c r="G109" s="482"/>
      <c r="H109" s="482"/>
      <c r="I109" s="482"/>
      <c r="J109" s="488">
        <f t="shared" si="73"/>
        <v>431505</v>
      </c>
      <c r="K109" s="482"/>
      <c r="L109" s="482">
        <f>(566000)-134495</f>
        <v>431505</v>
      </c>
      <c r="M109" s="482"/>
      <c r="N109" s="482"/>
      <c r="O109" s="493">
        <f t="shared" si="74"/>
        <v>0</v>
      </c>
      <c r="P109" s="486">
        <f t="shared" si="75"/>
        <v>431505</v>
      </c>
      <c r="Q109" s="115">
        <f>P109</f>
        <v>431505</v>
      </c>
      <c r="R109" s="147"/>
    </row>
    <row r="110" spans="1:18" ht="137.25" x14ac:dyDescent="0.2">
      <c r="A110" s="477"/>
      <c r="B110" s="477"/>
      <c r="C110" s="477"/>
      <c r="D110" s="268" t="s">
        <v>537</v>
      </c>
      <c r="E110" s="487"/>
      <c r="F110" s="490"/>
      <c r="G110" s="490"/>
      <c r="H110" s="490"/>
      <c r="I110" s="490"/>
      <c r="J110" s="477"/>
      <c r="K110" s="477"/>
      <c r="L110" s="490"/>
      <c r="M110" s="490"/>
      <c r="N110" s="490"/>
      <c r="O110" s="495"/>
      <c r="P110" s="487"/>
      <c r="R110" s="147"/>
    </row>
    <row r="111" spans="1:18" ht="180" x14ac:dyDescent="0.2">
      <c r="A111" s="327">
        <v>1000000</v>
      </c>
      <c r="B111" s="327"/>
      <c r="C111" s="327"/>
      <c r="D111" s="328" t="s">
        <v>43</v>
      </c>
      <c r="E111" s="329">
        <f>E112</f>
        <v>83355564</v>
      </c>
      <c r="F111" s="329">
        <f t="shared" ref="F111" si="78">F112</f>
        <v>83355564</v>
      </c>
      <c r="G111" s="329">
        <f t="shared" ref="G111" si="79">G112</f>
        <v>57740325</v>
      </c>
      <c r="H111" s="329">
        <f>H112</f>
        <v>3248142</v>
      </c>
      <c r="I111" s="329">
        <f t="shared" ref="I111" si="80">I112</f>
        <v>0</v>
      </c>
      <c r="J111" s="329">
        <f>J112</f>
        <v>15226334</v>
      </c>
      <c r="K111" s="329">
        <f>K112</f>
        <v>7739554</v>
      </c>
      <c r="L111" s="329">
        <f>L112</f>
        <v>7451780</v>
      </c>
      <c r="M111" s="329">
        <f t="shared" ref="M111" si="81">M112</f>
        <v>5409770</v>
      </c>
      <c r="N111" s="329">
        <f>N112</f>
        <v>197280</v>
      </c>
      <c r="O111" s="329">
        <f>O112</f>
        <v>7774554</v>
      </c>
      <c r="P111" s="329">
        <f t="shared" ref="P111" si="82">P112</f>
        <v>98581898</v>
      </c>
    </row>
    <row r="112" spans="1:18" ht="180" x14ac:dyDescent="0.2">
      <c r="A112" s="324">
        <v>1010000</v>
      </c>
      <c r="B112" s="324"/>
      <c r="C112" s="324"/>
      <c r="D112" s="325" t="s">
        <v>62</v>
      </c>
      <c r="E112" s="326">
        <f>F112</f>
        <v>83355564</v>
      </c>
      <c r="F112" s="326">
        <f>SUM(F113:F120)</f>
        <v>83355564</v>
      </c>
      <c r="G112" s="326">
        <f t="shared" ref="G112:I112" si="83">SUM(G113:G120)</f>
        <v>57740325</v>
      </c>
      <c r="H112" s="326">
        <f t="shared" si="83"/>
        <v>3248142</v>
      </c>
      <c r="I112" s="326">
        <f t="shared" si="83"/>
        <v>0</v>
      </c>
      <c r="J112" s="326">
        <f t="shared" ref="J112:J120" si="84">L112+O112</f>
        <v>15226334</v>
      </c>
      <c r="K112" s="326">
        <f t="shared" ref="K112" si="85">SUM(K113:K120)</f>
        <v>7739554</v>
      </c>
      <c r="L112" s="326">
        <f t="shared" ref="L112" si="86">SUM(L113:L120)</f>
        <v>7451780</v>
      </c>
      <c r="M112" s="326">
        <f t="shared" ref="M112" si="87">SUM(M113:M120)</f>
        <v>5409770</v>
      </c>
      <c r="N112" s="326">
        <f t="shared" ref="N112" si="88">SUM(N113:N120)</f>
        <v>197280</v>
      </c>
      <c r="O112" s="326">
        <f t="shared" ref="O112" si="89">SUM(O113:O120)</f>
        <v>7774554</v>
      </c>
      <c r="P112" s="326">
        <f t="shared" ref="P112:P119" si="90">E112+J112</f>
        <v>98581898</v>
      </c>
      <c r="Q112" s="146" t="b">
        <f>P112=P113+P114+P115+P116+P117+P118+P119+P120</f>
        <v>1</v>
      </c>
      <c r="R112" s="147" t="b">
        <f>K112='d5'!I71</f>
        <v>1</v>
      </c>
    </row>
    <row r="113" spans="1:18" ht="274.5" x14ac:dyDescent="0.2">
      <c r="A113" s="394" t="s">
        <v>34</v>
      </c>
      <c r="B113" s="394" t="s">
        <v>268</v>
      </c>
      <c r="C113" s="394" t="s">
        <v>269</v>
      </c>
      <c r="D113" s="394" t="s">
        <v>267</v>
      </c>
      <c r="E113" s="393">
        <f>F113</f>
        <v>47590215</v>
      </c>
      <c r="F113" s="311">
        <f>((46221680)+69535)+1065000+234000</f>
        <v>47590215</v>
      </c>
      <c r="G113" s="311">
        <f>(35856900)+1065000</f>
        <v>36921900</v>
      </c>
      <c r="H113" s="311">
        <f>((1907060)+69535)-1300</f>
        <v>1975295</v>
      </c>
      <c r="I113" s="311"/>
      <c r="J113" s="393">
        <f t="shared" si="84"/>
        <v>7699484</v>
      </c>
      <c r="K113" s="311">
        <f>((386442)+1046562)-400000-164900</f>
        <v>868104</v>
      </c>
      <c r="L113" s="311">
        <v>6805480</v>
      </c>
      <c r="M113" s="311">
        <v>5170040</v>
      </c>
      <c r="N113" s="311">
        <v>138080</v>
      </c>
      <c r="O113" s="266">
        <f>K113+25900</f>
        <v>894004</v>
      </c>
      <c r="P113" s="393">
        <f t="shared" si="90"/>
        <v>55289699</v>
      </c>
      <c r="R113" s="147" t="b">
        <f>K113='d5'!I72+'d5'!I73</f>
        <v>1</v>
      </c>
    </row>
    <row r="114" spans="1:18" ht="46.5" x14ac:dyDescent="0.2">
      <c r="A114" s="394" t="s">
        <v>251</v>
      </c>
      <c r="B114" s="394" t="s">
        <v>252</v>
      </c>
      <c r="C114" s="394" t="s">
        <v>255</v>
      </c>
      <c r="D114" s="394" t="s">
        <v>256</v>
      </c>
      <c r="E114" s="393">
        <f t="shared" ref="E114:E117" si="91">F114</f>
        <v>726700</v>
      </c>
      <c r="F114" s="311">
        <v>726700</v>
      </c>
      <c r="G114" s="311"/>
      <c r="H114" s="311"/>
      <c r="I114" s="311"/>
      <c r="J114" s="393">
        <f t="shared" si="84"/>
        <v>0</v>
      </c>
      <c r="K114" s="311"/>
      <c r="L114" s="311"/>
      <c r="M114" s="311"/>
      <c r="N114" s="311"/>
      <c r="O114" s="266">
        <f>K114</f>
        <v>0</v>
      </c>
      <c r="P114" s="393">
        <f t="shared" si="90"/>
        <v>726700</v>
      </c>
      <c r="R114" s="147"/>
    </row>
    <row r="115" spans="1:18" ht="91.5" x14ac:dyDescent="0.2">
      <c r="A115" s="394" t="s">
        <v>257</v>
      </c>
      <c r="B115" s="394" t="s">
        <v>258</v>
      </c>
      <c r="C115" s="394" t="s">
        <v>259</v>
      </c>
      <c r="D115" s="394" t="s">
        <v>260</v>
      </c>
      <c r="E115" s="393">
        <f t="shared" si="91"/>
        <v>7945270</v>
      </c>
      <c r="F115" s="311">
        <f>((7716225)+80300)+148745</f>
        <v>7945270</v>
      </c>
      <c r="G115" s="311">
        <v>5790700</v>
      </c>
      <c r="H115" s="311">
        <v>459705</v>
      </c>
      <c r="I115" s="311"/>
      <c r="J115" s="393">
        <f t="shared" si="84"/>
        <v>716950</v>
      </c>
      <c r="K115" s="311">
        <v>631950</v>
      </c>
      <c r="L115" s="311">
        <v>85000</v>
      </c>
      <c r="M115" s="311">
        <v>9800</v>
      </c>
      <c r="N115" s="311">
        <v>18500</v>
      </c>
      <c r="O115" s="266">
        <f>K115</f>
        <v>631950</v>
      </c>
      <c r="P115" s="393">
        <f t="shared" si="90"/>
        <v>8662220</v>
      </c>
      <c r="R115" s="147" t="b">
        <f>K115='d5'!I74</f>
        <v>1</v>
      </c>
    </row>
    <row r="116" spans="1:18" ht="91.5" x14ac:dyDescent="0.2">
      <c r="A116" s="394" t="s">
        <v>261</v>
      </c>
      <c r="B116" s="394" t="s">
        <v>262</v>
      </c>
      <c r="C116" s="394" t="s">
        <v>259</v>
      </c>
      <c r="D116" s="394" t="s">
        <v>263</v>
      </c>
      <c r="E116" s="393">
        <f t="shared" si="91"/>
        <v>1220535</v>
      </c>
      <c r="F116" s="311">
        <v>1220535</v>
      </c>
      <c r="G116" s="311">
        <v>796025</v>
      </c>
      <c r="H116" s="311">
        <f>(201670)-6000</f>
        <v>195670</v>
      </c>
      <c r="I116" s="311"/>
      <c r="J116" s="393">
        <f t="shared" si="84"/>
        <v>5075000</v>
      </c>
      <c r="K116" s="311">
        <f>(3000000)+2000000</f>
        <v>5000000</v>
      </c>
      <c r="L116" s="311">
        <v>75000</v>
      </c>
      <c r="M116" s="311">
        <v>6100</v>
      </c>
      <c r="N116" s="311">
        <v>3300</v>
      </c>
      <c r="O116" s="266">
        <f>K116</f>
        <v>5000000</v>
      </c>
      <c r="P116" s="393">
        <f t="shared" si="90"/>
        <v>6295535</v>
      </c>
      <c r="R116" s="147" t="b">
        <f>K116='d5'!I75+'d5'!I76</f>
        <v>1</v>
      </c>
    </row>
    <row r="117" spans="1:18" ht="183" x14ac:dyDescent="0.2">
      <c r="A117" s="394" t="s">
        <v>264</v>
      </c>
      <c r="B117" s="394" t="s">
        <v>253</v>
      </c>
      <c r="C117" s="394" t="s">
        <v>265</v>
      </c>
      <c r="D117" s="394" t="s">
        <v>266</v>
      </c>
      <c r="E117" s="393">
        <f t="shared" si="91"/>
        <v>5924182</v>
      </c>
      <c r="F117" s="311">
        <f>((5699642)+116500)+108040</f>
        <v>5924182</v>
      </c>
      <c r="G117" s="311">
        <v>4068700</v>
      </c>
      <c r="H117" s="311">
        <f>(590742)-8000</f>
        <v>582742</v>
      </c>
      <c r="I117" s="311"/>
      <c r="J117" s="393">
        <f t="shared" si="84"/>
        <v>1555400</v>
      </c>
      <c r="K117" s="311">
        <f>(500000)+690000</f>
        <v>1190000</v>
      </c>
      <c r="L117" s="311">
        <v>356300</v>
      </c>
      <c r="M117" s="311">
        <v>218030</v>
      </c>
      <c r="N117" s="311">
        <v>37400</v>
      </c>
      <c r="O117" s="266">
        <f>K117+9100</f>
        <v>1199100</v>
      </c>
      <c r="P117" s="393">
        <f t="shared" si="90"/>
        <v>7479582</v>
      </c>
      <c r="R117" s="147" t="b">
        <f>K117='d5'!I77</f>
        <v>1</v>
      </c>
    </row>
    <row r="118" spans="1:18" ht="137.25" x14ac:dyDescent="0.2">
      <c r="A118" s="394" t="s">
        <v>517</v>
      </c>
      <c r="B118" s="394" t="s">
        <v>518</v>
      </c>
      <c r="C118" s="394" t="s">
        <v>270</v>
      </c>
      <c r="D118" s="394" t="s">
        <v>516</v>
      </c>
      <c r="E118" s="393">
        <f>F118</f>
        <v>13283762</v>
      </c>
      <c r="F118" s="311">
        <f>(13266262)+17500</f>
        <v>13283762</v>
      </c>
      <c r="G118" s="311">
        <v>10163000</v>
      </c>
      <c r="H118" s="311">
        <v>34730</v>
      </c>
      <c r="I118" s="311"/>
      <c r="J118" s="393">
        <f t="shared" si="84"/>
        <v>130000</v>
      </c>
      <c r="K118" s="311"/>
      <c r="L118" s="311">
        <v>130000</v>
      </c>
      <c r="M118" s="311">
        <v>5800</v>
      </c>
      <c r="N118" s="311"/>
      <c r="O118" s="266">
        <f>K118</f>
        <v>0</v>
      </c>
      <c r="P118" s="393">
        <f t="shared" si="90"/>
        <v>13413762</v>
      </c>
      <c r="R118" s="147"/>
    </row>
    <row r="119" spans="1:18" ht="91.5" x14ac:dyDescent="0.2">
      <c r="A119" s="394" t="s">
        <v>519</v>
      </c>
      <c r="B119" s="394" t="s">
        <v>520</v>
      </c>
      <c r="C119" s="394" t="s">
        <v>270</v>
      </c>
      <c r="D119" s="394" t="s">
        <v>521</v>
      </c>
      <c r="E119" s="393">
        <f>F119</f>
        <v>6664900</v>
      </c>
      <c r="F119" s="311">
        <f>((6000000)+300000)+200000+164900</f>
        <v>6664900</v>
      </c>
      <c r="G119" s="311"/>
      <c r="H119" s="311"/>
      <c r="I119" s="311"/>
      <c r="J119" s="393">
        <f t="shared" si="84"/>
        <v>0</v>
      </c>
      <c r="K119" s="311"/>
      <c r="L119" s="311"/>
      <c r="M119" s="311"/>
      <c r="N119" s="311"/>
      <c r="O119" s="266">
        <f>K119</f>
        <v>0</v>
      </c>
      <c r="P119" s="393">
        <f t="shared" si="90"/>
        <v>6664900</v>
      </c>
      <c r="R119" s="147"/>
    </row>
    <row r="120" spans="1:18" ht="91.5" x14ac:dyDescent="0.2">
      <c r="A120" s="394" t="s">
        <v>828</v>
      </c>
      <c r="B120" s="394" t="s">
        <v>287</v>
      </c>
      <c r="C120" s="394" t="s">
        <v>250</v>
      </c>
      <c r="D120" s="394" t="s">
        <v>57</v>
      </c>
      <c r="E120" s="257">
        <f t="shared" ref="E120" si="92">F120</f>
        <v>0</v>
      </c>
      <c r="F120" s="249"/>
      <c r="G120" s="249"/>
      <c r="H120" s="249"/>
      <c r="I120" s="249"/>
      <c r="J120" s="393">
        <f t="shared" si="84"/>
        <v>49500</v>
      </c>
      <c r="K120" s="311">
        <f>(25000)+24500</f>
        <v>49500</v>
      </c>
      <c r="L120" s="249"/>
      <c r="M120" s="249"/>
      <c r="N120" s="249"/>
      <c r="O120" s="266">
        <f t="shared" ref="O120" si="93">K120</f>
        <v>49500</v>
      </c>
      <c r="P120" s="393">
        <f>E120+J120</f>
        <v>49500</v>
      </c>
      <c r="R120" s="147" t="b">
        <f>K120='d5'!I78</f>
        <v>1</v>
      </c>
    </row>
    <row r="121" spans="1:18" ht="135" x14ac:dyDescent="0.2">
      <c r="A121" s="327" t="s">
        <v>40</v>
      </c>
      <c r="B121" s="327"/>
      <c r="C121" s="327"/>
      <c r="D121" s="328" t="s">
        <v>41</v>
      </c>
      <c r="E121" s="329">
        <f>E122</f>
        <v>53842996</v>
      </c>
      <c r="F121" s="329">
        <f t="shared" ref="F121" si="94">F122</f>
        <v>53842996</v>
      </c>
      <c r="G121" s="329">
        <f t="shared" ref="G121" si="95">G122</f>
        <v>18550586</v>
      </c>
      <c r="H121" s="329">
        <f>H122</f>
        <v>1499867</v>
      </c>
      <c r="I121" s="329">
        <f t="shared" ref="I121" si="96">I122</f>
        <v>0</v>
      </c>
      <c r="J121" s="329">
        <f>J122</f>
        <v>5290684</v>
      </c>
      <c r="K121" s="329">
        <f>K122</f>
        <v>3274040</v>
      </c>
      <c r="L121" s="329">
        <f>L122</f>
        <v>2016644</v>
      </c>
      <c r="M121" s="329">
        <f t="shared" ref="M121" si="97">M122</f>
        <v>912155</v>
      </c>
      <c r="N121" s="329">
        <f>N122</f>
        <v>330236</v>
      </c>
      <c r="O121" s="329">
        <f>O122</f>
        <v>3274040</v>
      </c>
      <c r="P121" s="329">
        <f t="shared" ref="P121" si="98">P122</f>
        <v>59133680</v>
      </c>
    </row>
    <row r="122" spans="1:18" ht="135" x14ac:dyDescent="0.2">
      <c r="A122" s="324" t="s">
        <v>39</v>
      </c>
      <c r="B122" s="324"/>
      <c r="C122" s="324"/>
      <c r="D122" s="325" t="s">
        <v>58</v>
      </c>
      <c r="E122" s="326">
        <f>SUM(E123:E136)</f>
        <v>53842996</v>
      </c>
      <c r="F122" s="326">
        <f>SUM(F123:F136)</f>
        <v>53842996</v>
      </c>
      <c r="G122" s="326">
        <f>SUM(G123:G136)</f>
        <v>18550586</v>
      </c>
      <c r="H122" s="326">
        <f>SUM(H123:H136)</f>
        <v>1499867</v>
      </c>
      <c r="I122" s="326">
        <f>SUM(I123:I136)</f>
        <v>0</v>
      </c>
      <c r="J122" s="326">
        <f t="shared" ref="J122:J135" si="99">L122+O122</f>
        <v>5290684</v>
      </c>
      <c r="K122" s="326">
        <f>SUM(K123:K136)</f>
        <v>3274040</v>
      </c>
      <c r="L122" s="326">
        <f>SUM(L123:L136)</f>
        <v>2016644</v>
      </c>
      <c r="M122" s="326">
        <f>SUM(M123:M136)</f>
        <v>912155</v>
      </c>
      <c r="N122" s="326">
        <f>SUM(N123:N136)</f>
        <v>330236</v>
      </c>
      <c r="O122" s="326">
        <f>SUM(O123:O136)</f>
        <v>3274040</v>
      </c>
      <c r="P122" s="326">
        <f>E122+J122</f>
        <v>59133680</v>
      </c>
      <c r="Q122" s="146" t="b">
        <f>P122=P123+P124+P125+P126+P127+P128+P129+P130+P131+P132+P134+P135+P133+P136</f>
        <v>1</v>
      </c>
      <c r="R122" s="147" t="b">
        <f>K122='d5'!I80</f>
        <v>1</v>
      </c>
    </row>
    <row r="123" spans="1:18" ht="137.25" x14ac:dyDescent="0.2">
      <c r="A123" s="394" t="s">
        <v>271</v>
      </c>
      <c r="B123" s="394" t="s">
        <v>272</v>
      </c>
      <c r="C123" s="394" t="s">
        <v>273</v>
      </c>
      <c r="D123" s="394" t="s">
        <v>274</v>
      </c>
      <c r="E123" s="257">
        <f t="shared" ref="E123:E126" si="100">F123</f>
        <v>3511988</v>
      </c>
      <c r="F123" s="249">
        <f>((3278423)+114920)+97250+21395</f>
        <v>3511988</v>
      </c>
      <c r="G123" s="249">
        <f>((2517500)+82000)+97250</f>
        <v>2696750</v>
      </c>
      <c r="H123" s="249">
        <v>66793</v>
      </c>
      <c r="I123" s="249"/>
      <c r="J123" s="393">
        <f t="shared" si="99"/>
        <v>88478</v>
      </c>
      <c r="K123" s="249">
        <f>(53278)+35200</f>
        <v>88478</v>
      </c>
      <c r="L123" s="264"/>
      <c r="M123" s="264"/>
      <c r="N123" s="264"/>
      <c r="O123" s="266">
        <f t="shared" ref="O123:O135" si="101">K123</f>
        <v>88478</v>
      </c>
      <c r="P123" s="393">
        <f>+J123+E123</f>
        <v>3600466</v>
      </c>
      <c r="Q123" s="147"/>
      <c r="R123" s="147" t="b">
        <f>K123='d5'!I81</f>
        <v>1</v>
      </c>
    </row>
    <row r="124" spans="1:18" ht="228.75" x14ac:dyDescent="0.2">
      <c r="A124" s="394" t="s">
        <v>72</v>
      </c>
      <c r="B124" s="394" t="s">
        <v>254</v>
      </c>
      <c r="C124" s="394" t="s">
        <v>273</v>
      </c>
      <c r="D124" s="394" t="s">
        <v>22</v>
      </c>
      <c r="E124" s="257">
        <f t="shared" si="100"/>
        <v>1485790</v>
      </c>
      <c r="F124" s="249">
        <f>((875790)+350000)+260000</f>
        <v>1485790</v>
      </c>
      <c r="G124" s="249"/>
      <c r="H124" s="249"/>
      <c r="I124" s="249"/>
      <c r="J124" s="393">
        <f t="shared" si="99"/>
        <v>0</v>
      </c>
      <c r="K124" s="249"/>
      <c r="L124" s="264"/>
      <c r="M124" s="264"/>
      <c r="N124" s="264"/>
      <c r="O124" s="266">
        <f t="shared" si="101"/>
        <v>0</v>
      </c>
      <c r="P124" s="393">
        <f>+J124+E124</f>
        <v>1485790</v>
      </c>
      <c r="R124" s="147"/>
    </row>
    <row r="125" spans="1:18" ht="91.5" x14ac:dyDescent="0.2">
      <c r="A125" s="394" t="s">
        <v>278</v>
      </c>
      <c r="B125" s="394" t="s">
        <v>279</v>
      </c>
      <c r="C125" s="394" t="s">
        <v>273</v>
      </c>
      <c r="D125" s="394" t="s">
        <v>23</v>
      </c>
      <c r="E125" s="257">
        <f t="shared" si="100"/>
        <v>3239091</v>
      </c>
      <c r="F125" s="249">
        <f>(((3054118)+225250)+16100+23200-23200+22923)-79300</f>
        <v>3239091</v>
      </c>
      <c r="G125" s="249">
        <f>((1623800)+160000)+16100+23200</f>
        <v>1823100</v>
      </c>
      <c r="H125" s="249">
        <f>(438288)-78900</f>
        <v>359388</v>
      </c>
      <c r="I125" s="249"/>
      <c r="J125" s="393">
        <f t="shared" si="99"/>
        <v>1414055</v>
      </c>
      <c r="K125" s="249">
        <f>((592430)+551506)+48687-120556+8000+8988</f>
        <v>1089055</v>
      </c>
      <c r="L125" s="264">
        <v>325000</v>
      </c>
      <c r="M125" s="264">
        <f>(189100)-34100</f>
        <v>155000</v>
      </c>
      <c r="N125" s="264">
        <v>89400</v>
      </c>
      <c r="O125" s="266">
        <f t="shared" si="101"/>
        <v>1089055</v>
      </c>
      <c r="P125" s="393">
        <f t="shared" ref="P125:P136" si="102">E125+J125</f>
        <v>4653146</v>
      </c>
      <c r="R125" s="147" t="b">
        <f>K125='d5'!I82+'d5'!I83+'d5'!I84</f>
        <v>1</v>
      </c>
    </row>
    <row r="126" spans="1:18" ht="91.5" x14ac:dyDescent="0.2">
      <c r="A126" s="394" t="s">
        <v>560</v>
      </c>
      <c r="B126" s="394" t="s">
        <v>561</v>
      </c>
      <c r="C126" s="394" t="s">
        <v>273</v>
      </c>
      <c r="D126" s="394" t="s">
        <v>562</v>
      </c>
      <c r="E126" s="257">
        <f t="shared" si="100"/>
        <v>5505396</v>
      </c>
      <c r="F126" s="249">
        <f>(((5640576+301303)+363517)-200000-100000)-500000+0</f>
        <v>5505396</v>
      </c>
      <c r="G126" s="249">
        <v>714843</v>
      </c>
      <c r="H126" s="249">
        <f>(97580)-21544</f>
        <v>76036</v>
      </c>
      <c r="I126" s="249"/>
      <c r="J126" s="393">
        <f t="shared" si="99"/>
        <v>1276503</v>
      </c>
      <c r="K126" s="249">
        <f>((816103)+550600)-120200+30000</f>
        <v>1276503</v>
      </c>
      <c r="L126" s="264"/>
      <c r="M126" s="264"/>
      <c r="N126" s="264"/>
      <c r="O126" s="266">
        <f t="shared" si="101"/>
        <v>1276503</v>
      </c>
      <c r="P126" s="393">
        <f t="shared" si="102"/>
        <v>6781899</v>
      </c>
      <c r="R126" s="147" t="b">
        <f>K126='d5'!I85</f>
        <v>1</v>
      </c>
    </row>
    <row r="127" spans="1:18" ht="137.25" x14ac:dyDescent="0.2">
      <c r="A127" s="394" t="s">
        <v>73</v>
      </c>
      <c r="B127" s="394" t="s">
        <v>275</v>
      </c>
      <c r="C127" s="394" t="s">
        <v>285</v>
      </c>
      <c r="D127" s="394" t="s">
        <v>74</v>
      </c>
      <c r="E127" s="257">
        <f t="shared" ref="E127:E132" si="103">F127</f>
        <v>12176475</v>
      </c>
      <c r="F127" s="249">
        <f>(((10002475)+44000)+2000000+150000)-20000</f>
        <v>12176475</v>
      </c>
      <c r="G127" s="311"/>
      <c r="H127" s="311"/>
      <c r="I127" s="311"/>
      <c r="J127" s="393">
        <f t="shared" si="99"/>
        <v>0</v>
      </c>
      <c r="K127" s="311"/>
      <c r="L127" s="311"/>
      <c r="M127" s="311"/>
      <c r="N127" s="311"/>
      <c r="O127" s="266">
        <f t="shared" si="101"/>
        <v>0</v>
      </c>
      <c r="P127" s="393">
        <f t="shared" si="102"/>
        <v>12176475</v>
      </c>
      <c r="R127" s="147"/>
    </row>
    <row r="128" spans="1:18" ht="137.25" x14ac:dyDescent="0.2">
      <c r="A128" s="394" t="s">
        <v>75</v>
      </c>
      <c r="B128" s="394" t="s">
        <v>276</v>
      </c>
      <c r="C128" s="394" t="s">
        <v>285</v>
      </c>
      <c r="D128" s="394" t="s">
        <v>6</v>
      </c>
      <c r="E128" s="257">
        <f t="shared" si="103"/>
        <v>1834013</v>
      </c>
      <c r="F128" s="249">
        <f>(((1727513)+30000)+50000)+26500</f>
        <v>1834013</v>
      </c>
      <c r="G128" s="311"/>
      <c r="H128" s="311"/>
      <c r="I128" s="311"/>
      <c r="J128" s="393">
        <f t="shared" si="99"/>
        <v>0</v>
      </c>
      <c r="K128" s="311"/>
      <c r="L128" s="311"/>
      <c r="M128" s="311"/>
      <c r="N128" s="311"/>
      <c r="O128" s="266">
        <f t="shared" si="101"/>
        <v>0</v>
      </c>
      <c r="P128" s="393">
        <f t="shared" si="102"/>
        <v>1834013</v>
      </c>
      <c r="R128" s="147"/>
    </row>
    <row r="129" spans="1:18" ht="183" x14ac:dyDescent="0.2">
      <c r="A129" s="394" t="s">
        <v>76</v>
      </c>
      <c r="B129" s="394" t="s">
        <v>277</v>
      </c>
      <c r="C129" s="394" t="s">
        <v>285</v>
      </c>
      <c r="D129" s="394" t="s">
        <v>557</v>
      </c>
      <c r="E129" s="257">
        <f>F129</f>
        <v>4014</v>
      </c>
      <c r="F129" s="249">
        <f>(53014)-49000</f>
        <v>4014</v>
      </c>
      <c r="G129" s="249"/>
      <c r="H129" s="249"/>
      <c r="I129" s="311"/>
      <c r="J129" s="393">
        <f t="shared" si="99"/>
        <v>0</v>
      </c>
      <c r="K129" s="311"/>
      <c r="L129" s="249"/>
      <c r="M129" s="249"/>
      <c r="N129" s="249"/>
      <c r="O129" s="266">
        <f t="shared" si="101"/>
        <v>0</v>
      </c>
      <c r="P129" s="393">
        <f t="shared" si="102"/>
        <v>4014</v>
      </c>
      <c r="R129" s="147"/>
    </row>
    <row r="130" spans="1:18" ht="183" x14ac:dyDescent="0.2">
      <c r="A130" s="394" t="s">
        <v>49</v>
      </c>
      <c r="B130" s="394" t="s">
        <v>282</v>
      </c>
      <c r="C130" s="394" t="s">
        <v>285</v>
      </c>
      <c r="D130" s="394" t="s">
        <v>77</v>
      </c>
      <c r="E130" s="257">
        <f t="shared" si="103"/>
        <v>18783097</v>
      </c>
      <c r="F130" s="249">
        <f>(((18126095)+615012)+54454+11980+47000+35190+6800-54454-11980-47000)+40000-20000-20000+27862-27862</f>
        <v>18783097</v>
      </c>
      <c r="G130" s="249">
        <f>((12402731)+54454-54454)+27862+40000</f>
        <v>12470593</v>
      </c>
      <c r="H130" s="249">
        <f>(1025512)-27862</f>
        <v>997650</v>
      </c>
      <c r="I130" s="249"/>
      <c r="J130" s="393">
        <f t="shared" si="99"/>
        <v>2312444</v>
      </c>
      <c r="K130" s="249">
        <f>((519800)+97000)+34000+12000</f>
        <v>662800</v>
      </c>
      <c r="L130" s="249">
        <v>1649644</v>
      </c>
      <c r="M130" s="249">
        <v>757155</v>
      </c>
      <c r="N130" s="249">
        <f>255836-15000</f>
        <v>240836</v>
      </c>
      <c r="O130" s="266">
        <f t="shared" si="101"/>
        <v>662800</v>
      </c>
      <c r="P130" s="393">
        <f t="shared" si="102"/>
        <v>21095541</v>
      </c>
      <c r="R130" s="147" t="b">
        <f>K130='d5'!I86+'d5'!I87</f>
        <v>1</v>
      </c>
    </row>
    <row r="131" spans="1:18" ht="183" x14ac:dyDescent="0.2">
      <c r="A131" s="394" t="s">
        <v>50</v>
      </c>
      <c r="B131" s="394" t="s">
        <v>283</v>
      </c>
      <c r="C131" s="394" t="s">
        <v>285</v>
      </c>
      <c r="D131" s="394" t="s">
        <v>78</v>
      </c>
      <c r="E131" s="257">
        <f t="shared" si="103"/>
        <v>4319656</v>
      </c>
      <c r="F131" s="249">
        <f>(4254685)+64971</f>
        <v>4319656</v>
      </c>
      <c r="G131" s="249"/>
      <c r="H131" s="249"/>
      <c r="I131" s="249"/>
      <c r="J131" s="393">
        <f t="shared" si="99"/>
        <v>0</v>
      </c>
      <c r="K131" s="249"/>
      <c r="L131" s="249"/>
      <c r="M131" s="249"/>
      <c r="N131" s="249"/>
      <c r="O131" s="266">
        <f t="shared" si="101"/>
        <v>0</v>
      </c>
      <c r="P131" s="393">
        <f t="shared" si="102"/>
        <v>4319656</v>
      </c>
      <c r="R131" s="147"/>
    </row>
    <row r="132" spans="1:18" ht="274.5" x14ac:dyDescent="0.2">
      <c r="A132" s="279" t="s">
        <v>51</v>
      </c>
      <c r="B132" s="279" t="s">
        <v>284</v>
      </c>
      <c r="C132" s="279" t="s">
        <v>285</v>
      </c>
      <c r="D132" s="394" t="s">
        <v>52</v>
      </c>
      <c r="E132" s="257">
        <f t="shared" si="103"/>
        <v>1545766</v>
      </c>
      <c r="F132" s="249">
        <f>(((1500611)-44000)+129155)-40000</f>
        <v>1545766</v>
      </c>
      <c r="G132" s="311"/>
      <c r="H132" s="311"/>
      <c r="I132" s="311"/>
      <c r="J132" s="393">
        <f t="shared" si="99"/>
        <v>0</v>
      </c>
      <c r="K132" s="311"/>
      <c r="L132" s="311"/>
      <c r="M132" s="311"/>
      <c r="N132" s="311"/>
      <c r="O132" s="266">
        <f t="shared" si="101"/>
        <v>0</v>
      </c>
      <c r="P132" s="393">
        <f t="shared" si="102"/>
        <v>1545766</v>
      </c>
      <c r="R132" s="147"/>
    </row>
    <row r="133" spans="1:18" s="281" customFormat="1" ht="183" x14ac:dyDescent="0.2">
      <c r="A133" s="394" t="s">
        <v>952</v>
      </c>
      <c r="B133" s="394" t="s">
        <v>953</v>
      </c>
      <c r="C133" s="394" t="s">
        <v>285</v>
      </c>
      <c r="D133" s="394" t="s">
        <v>954</v>
      </c>
      <c r="E133" s="257">
        <f t="shared" ref="E133" si="104">F133</f>
        <v>98296</v>
      </c>
      <c r="F133" s="249">
        <f>(68296)+30000</f>
        <v>98296</v>
      </c>
      <c r="G133" s="249"/>
      <c r="H133" s="249"/>
      <c r="I133" s="249"/>
      <c r="J133" s="393">
        <f t="shared" ref="J133" si="105">L133+O133</f>
        <v>0</v>
      </c>
      <c r="K133" s="249"/>
      <c r="L133" s="249"/>
      <c r="M133" s="249"/>
      <c r="N133" s="249"/>
      <c r="O133" s="266">
        <f t="shared" ref="O133" si="106">K133</f>
        <v>0</v>
      </c>
      <c r="P133" s="393">
        <f t="shared" ref="P133" si="107">E133+J133</f>
        <v>98296</v>
      </c>
      <c r="R133" s="283"/>
    </row>
    <row r="134" spans="1:18" ht="91.5" x14ac:dyDescent="0.2">
      <c r="A134" s="279" t="s">
        <v>53</v>
      </c>
      <c r="B134" s="279" t="s">
        <v>286</v>
      </c>
      <c r="C134" s="279" t="s">
        <v>285</v>
      </c>
      <c r="D134" s="394" t="s">
        <v>54</v>
      </c>
      <c r="E134" s="257">
        <f>F134</f>
        <v>1318414</v>
      </c>
      <c r="F134" s="249">
        <f>(((1179249)+88165)+7000+1500+12000)+25000+5500</f>
        <v>1318414</v>
      </c>
      <c r="G134" s="311">
        <f>((813300)+7000)+25000</f>
        <v>845300</v>
      </c>
      <c r="H134" s="311"/>
      <c r="I134" s="311"/>
      <c r="J134" s="393">
        <f t="shared" si="99"/>
        <v>99500</v>
      </c>
      <c r="K134" s="311">
        <v>57500</v>
      </c>
      <c r="L134" s="311">
        <v>42000</v>
      </c>
      <c r="M134" s="311"/>
      <c r="N134" s="311"/>
      <c r="O134" s="266">
        <f t="shared" si="101"/>
        <v>57500</v>
      </c>
      <c r="P134" s="393">
        <f t="shared" si="102"/>
        <v>1417914</v>
      </c>
      <c r="R134" s="392" t="b">
        <f>K134='d5'!I88</f>
        <v>1</v>
      </c>
    </row>
    <row r="135" spans="1:18" ht="274.5" x14ac:dyDescent="0.2">
      <c r="A135" s="279" t="s">
        <v>531</v>
      </c>
      <c r="B135" s="279" t="s">
        <v>530</v>
      </c>
      <c r="C135" s="279" t="s">
        <v>529</v>
      </c>
      <c r="D135" s="394" t="s">
        <v>528</v>
      </c>
      <c r="E135" s="257">
        <f>F135</f>
        <v>21000</v>
      </c>
      <c r="F135" s="249">
        <v>21000</v>
      </c>
      <c r="G135" s="311"/>
      <c r="H135" s="311"/>
      <c r="I135" s="311"/>
      <c r="J135" s="393">
        <f t="shared" si="99"/>
        <v>0</v>
      </c>
      <c r="K135" s="311"/>
      <c r="L135" s="311"/>
      <c r="M135" s="311"/>
      <c r="N135" s="311"/>
      <c r="O135" s="266">
        <f t="shared" si="101"/>
        <v>0</v>
      </c>
      <c r="P135" s="393">
        <f t="shared" si="102"/>
        <v>21000</v>
      </c>
      <c r="R135" s="147"/>
    </row>
    <row r="136" spans="1:18" ht="91.5" x14ac:dyDescent="0.2">
      <c r="A136" s="394" t="s">
        <v>876</v>
      </c>
      <c r="B136" s="394" t="s">
        <v>287</v>
      </c>
      <c r="C136" s="394" t="s">
        <v>250</v>
      </c>
      <c r="D136" s="394" t="s">
        <v>57</v>
      </c>
      <c r="E136" s="257">
        <f>F136</f>
        <v>0</v>
      </c>
      <c r="F136" s="249">
        <f>30000-30000</f>
        <v>0</v>
      </c>
      <c r="G136" s="249"/>
      <c r="H136" s="249"/>
      <c r="I136" s="249"/>
      <c r="J136" s="393">
        <f>L136+O136</f>
        <v>99704</v>
      </c>
      <c r="K136" s="311">
        <v>99704</v>
      </c>
      <c r="L136" s="249"/>
      <c r="M136" s="249"/>
      <c r="N136" s="249"/>
      <c r="O136" s="266">
        <f>K136</f>
        <v>99704</v>
      </c>
      <c r="P136" s="393">
        <f t="shared" si="102"/>
        <v>99704</v>
      </c>
      <c r="R136" s="147" t="b">
        <f>K136='d5'!I89</f>
        <v>1</v>
      </c>
    </row>
    <row r="137" spans="1:18" ht="180" x14ac:dyDescent="0.2">
      <c r="A137" s="327" t="s">
        <v>238</v>
      </c>
      <c r="B137" s="327"/>
      <c r="C137" s="327"/>
      <c r="D137" s="328" t="s">
        <v>42</v>
      </c>
      <c r="E137" s="329">
        <f>E138</f>
        <v>279985100</v>
      </c>
      <c r="F137" s="329">
        <f t="shared" ref="F137" si="108">F138</f>
        <v>279985100</v>
      </c>
      <c r="G137" s="329">
        <f t="shared" ref="G137" si="109">G138</f>
        <v>8409070</v>
      </c>
      <c r="H137" s="329">
        <f>H138</f>
        <v>230900</v>
      </c>
      <c r="I137" s="329">
        <f t="shared" ref="I137" si="110">I138</f>
        <v>0</v>
      </c>
      <c r="J137" s="329">
        <f>J138</f>
        <v>236608894.46000001</v>
      </c>
      <c r="K137" s="329">
        <f>K138</f>
        <v>235577972.31</v>
      </c>
      <c r="L137" s="329">
        <f>L138</f>
        <v>1001137</v>
      </c>
      <c r="M137" s="329">
        <f t="shared" ref="M137" si="111">M138</f>
        <v>0</v>
      </c>
      <c r="N137" s="329">
        <f>N138</f>
        <v>0</v>
      </c>
      <c r="O137" s="329">
        <f>O138</f>
        <v>235607757.46000001</v>
      </c>
      <c r="P137" s="329">
        <f>P138</f>
        <v>516593994.46000004</v>
      </c>
    </row>
    <row r="138" spans="1:18" ht="180" x14ac:dyDescent="0.2">
      <c r="A138" s="324" t="s">
        <v>239</v>
      </c>
      <c r="B138" s="324"/>
      <c r="C138" s="324"/>
      <c r="D138" s="325" t="s">
        <v>63</v>
      </c>
      <c r="E138" s="326">
        <f>SUM(E139:E158)</f>
        <v>279985100</v>
      </c>
      <c r="F138" s="326">
        <f>SUM(F139:F158)</f>
        <v>279985100</v>
      </c>
      <c r="G138" s="326">
        <f>SUM(G139:G158)</f>
        <v>8409070</v>
      </c>
      <c r="H138" s="326">
        <f>SUM(H139:H158)</f>
        <v>230900</v>
      </c>
      <c r="I138" s="326">
        <f>SUM(I139:I158)</f>
        <v>0</v>
      </c>
      <c r="J138" s="326">
        <f t="shared" ref="J138:J156" si="112">L138+O138</f>
        <v>236608894.46000001</v>
      </c>
      <c r="K138" s="326">
        <f>SUM(K139:K158)</f>
        <v>235577972.31</v>
      </c>
      <c r="L138" s="326">
        <f>SUM(L139:L158)</f>
        <v>1001137</v>
      </c>
      <c r="M138" s="326">
        <f>SUM(M139:M158)</f>
        <v>0</v>
      </c>
      <c r="N138" s="326">
        <f>SUM(N139:N158)</f>
        <v>0</v>
      </c>
      <c r="O138" s="326">
        <f>SUM(O139:O158)</f>
        <v>235607757.46000001</v>
      </c>
      <c r="P138" s="326">
        <f>E138+J138</f>
        <v>516593994.46000004</v>
      </c>
      <c r="Q138" s="146" t="b">
        <f>P138=P141+P143+P144+P145+P146+P147+P148+P152+P154+P155+P158+P142+P139+P150+P151+P156+P140+P149+P153</f>
        <v>1</v>
      </c>
      <c r="R138" s="147" t="b">
        <f>K138='d5'!I91</f>
        <v>1</v>
      </c>
    </row>
    <row r="139" spans="1:18" ht="228.75" x14ac:dyDescent="0.2">
      <c r="A139" s="282" t="s">
        <v>717</v>
      </c>
      <c r="B139" s="282" t="s">
        <v>335</v>
      </c>
      <c r="C139" s="282" t="s">
        <v>333</v>
      </c>
      <c r="D139" s="282" t="s">
        <v>334</v>
      </c>
      <c r="E139" s="257">
        <f>F139</f>
        <v>9729222</v>
      </c>
      <c r="F139" s="249">
        <f>(((9531200)-49300+160000)+25300+4000)+58022</f>
        <v>9729222</v>
      </c>
      <c r="G139" s="249">
        <f>(7129200)+260722</f>
        <v>7389922</v>
      </c>
      <c r="H139" s="249">
        <f>(134000)+25300+4000</f>
        <v>163300</v>
      </c>
      <c r="I139" s="249"/>
      <c r="J139" s="338">
        <f t="shared" si="112"/>
        <v>0</v>
      </c>
      <c r="K139" s="249"/>
      <c r="L139" s="264"/>
      <c r="M139" s="264"/>
      <c r="N139" s="264"/>
      <c r="O139" s="266">
        <f t="shared" ref="O139:O155" si="113">K139</f>
        <v>0</v>
      </c>
      <c r="P139" s="338">
        <f t="shared" ref="P139:P145" si="114">+J139+E139</f>
        <v>9729222</v>
      </c>
      <c r="Q139" s="146"/>
      <c r="R139" s="147"/>
    </row>
    <row r="140" spans="1:18" ht="91.5" x14ac:dyDescent="0.2">
      <c r="A140" s="394" t="s">
        <v>806</v>
      </c>
      <c r="B140" s="394" t="s">
        <v>71</v>
      </c>
      <c r="C140" s="394" t="s">
        <v>70</v>
      </c>
      <c r="D140" s="394" t="s">
        <v>348</v>
      </c>
      <c r="E140" s="257">
        <f>F140</f>
        <v>146300</v>
      </c>
      <c r="F140" s="249">
        <f>(49300)+97000</f>
        <v>146300</v>
      </c>
      <c r="G140" s="249"/>
      <c r="H140" s="249"/>
      <c r="I140" s="249"/>
      <c r="J140" s="393">
        <f t="shared" ref="J140" si="115">L140+O140</f>
        <v>0</v>
      </c>
      <c r="K140" s="249"/>
      <c r="L140" s="264"/>
      <c r="M140" s="264"/>
      <c r="N140" s="264"/>
      <c r="O140" s="266">
        <f t="shared" ref="O140" si="116">K140</f>
        <v>0</v>
      </c>
      <c r="P140" s="393">
        <f t="shared" ref="P140" si="117">+J140+E140</f>
        <v>146300</v>
      </c>
      <c r="Q140" s="146"/>
      <c r="R140" s="147"/>
    </row>
    <row r="141" spans="1:18" ht="137.25" x14ac:dyDescent="0.2">
      <c r="A141" s="394" t="s">
        <v>411</v>
      </c>
      <c r="B141" s="394" t="s">
        <v>412</v>
      </c>
      <c r="C141" s="394" t="s">
        <v>529</v>
      </c>
      <c r="D141" s="394" t="s">
        <v>413</v>
      </c>
      <c r="E141" s="257">
        <f t="shared" ref="E141:E158" si="118">F141</f>
        <v>2183600</v>
      </c>
      <c r="F141" s="249">
        <v>2183600</v>
      </c>
      <c r="G141" s="249"/>
      <c r="H141" s="249"/>
      <c r="I141" s="249"/>
      <c r="J141" s="393">
        <f t="shared" si="112"/>
        <v>4455000</v>
      </c>
      <c r="K141" s="249">
        <f>(4550000)-95000</f>
        <v>4455000</v>
      </c>
      <c r="L141" s="264"/>
      <c r="M141" s="264"/>
      <c r="N141" s="264"/>
      <c r="O141" s="266">
        <f t="shared" si="113"/>
        <v>4455000</v>
      </c>
      <c r="P141" s="393">
        <f t="shared" si="114"/>
        <v>6638600</v>
      </c>
    </row>
    <row r="142" spans="1:18" ht="137.25" x14ac:dyDescent="0.2">
      <c r="A142" s="394" t="s">
        <v>624</v>
      </c>
      <c r="B142" s="394" t="s">
        <v>625</v>
      </c>
      <c r="C142" s="394" t="s">
        <v>414</v>
      </c>
      <c r="D142" s="394" t="s">
        <v>626</v>
      </c>
      <c r="E142" s="257">
        <f t="shared" si="118"/>
        <v>31500000</v>
      </c>
      <c r="F142" s="249">
        <f>((18000000)+12000000-1000000)+2500000</f>
        <v>31500000</v>
      </c>
      <c r="G142" s="249"/>
      <c r="H142" s="249"/>
      <c r="I142" s="249"/>
      <c r="J142" s="393">
        <f t="shared" si="112"/>
        <v>0</v>
      </c>
      <c r="K142" s="249"/>
      <c r="L142" s="264"/>
      <c r="M142" s="264"/>
      <c r="N142" s="264"/>
      <c r="O142" s="266">
        <f t="shared" si="113"/>
        <v>0</v>
      </c>
      <c r="P142" s="393">
        <f t="shared" si="114"/>
        <v>31500000</v>
      </c>
    </row>
    <row r="143" spans="1:18" ht="137.25" x14ac:dyDescent="0.2">
      <c r="A143" s="394" t="s">
        <v>418</v>
      </c>
      <c r="B143" s="394" t="s">
        <v>419</v>
      </c>
      <c r="C143" s="394" t="s">
        <v>414</v>
      </c>
      <c r="D143" s="394" t="s">
        <v>420</v>
      </c>
      <c r="E143" s="257">
        <f t="shared" si="118"/>
        <v>16553700</v>
      </c>
      <c r="F143" s="249">
        <f>((5553700)+5000000)+5000000+1000000</f>
        <v>16553700</v>
      </c>
      <c r="G143" s="249"/>
      <c r="H143" s="249"/>
      <c r="I143" s="249"/>
      <c r="J143" s="393">
        <f t="shared" si="112"/>
        <v>0</v>
      </c>
      <c r="K143" s="249"/>
      <c r="L143" s="264"/>
      <c r="M143" s="264"/>
      <c r="N143" s="264"/>
      <c r="O143" s="266">
        <f t="shared" si="113"/>
        <v>0</v>
      </c>
      <c r="P143" s="393">
        <f t="shared" si="114"/>
        <v>16553700</v>
      </c>
    </row>
    <row r="144" spans="1:18" ht="137.25" x14ac:dyDescent="0.2">
      <c r="A144" s="394" t="s">
        <v>441</v>
      </c>
      <c r="B144" s="394" t="s">
        <v>442</v>
      </c>
      <c r="C144" s="394" t="s">
        <v>414</v>
      </c>
      <c r="D144" s="394" t="s">
        <v>443</v>
      </c>
      <c r="E144" s="257">
        <f t="shared" si="118"/>
        <v>0</v>
      </c>
      <c r="F144" s="249"/>
      <c r="G144" s="249"/>
      <c r="H144" s="249"/>
      <c r="I144" s="249"/>
      <c r="J144" s="393">
        <f t="shared" si="112"/>
        <v>6145000</v>
      </c>
      <c r="K144" s="249">
        <f>5770000+375000</f>
        <v>6145000</v>
      </c>
      <c r="L144" s="264"/>
      <c r="M144" s="264"/>
      <c r="N144" s="264"/>
      <c r="O144" s="266">
        <f t="shared" si="113"/>
        <v>6145000</v>
      </c>
      <c r="P144" s="393">
        <f t="shared" si="114"/>
        <v>6145000</v>
      </c>
    </row>
    <row r="145" spans="1:18" ht="183" x14ac:dyDescent="0.2">
      <c r="A145" s="394" t="s">
        <v>415</v>
      </c>
      <c r="B145" s="394" t="s">
        <v>416</v>
      </c>
      <c r="C145" s="394" t="s">
        <v>414</v>
      </c>
      <c r="D145" s="394" t="s">
        <v>417</v>
      </c>
      <c r="E145" s="257">
        <f t="shared" si="118"/>
        <v>0</v>
      </c>
      <c r="F145" s="249">
        <v>0</v>
      </c>
      <c r="G145" s="249"/>
      <c r="H145" s="249"/>
      <c r="I145" s="249"/>
      <c r="J145" s="393">
        <f t="shared" si="112"/>
        <v>24331028</v>
      </c>
      <c r="K145" s="249">
        <f>((23000000)+271028+1000000)+60000</f>
        <v>24331028</v>
      </c>
      <c r="L145" s="264"/>
      <c r="M145" s="264"/>
      <c r="N145" s="264"/>
      <c r="O145" s="266">
        <f t="shared" si="113"/>
        <v>24331028</v>
      </c>
      <c r="P145" s="393">
        <f t="shared" si="114"/>
        <v>24331028</v>
      </c>
    </row>
    <row r="146" spans="1:18" ht="228.75" x14ac:dyDescent="0.2">
      <c r="A146" s="394" t="s">
        <v>435</v>
      </c>
      <c r="B146" s="394" t="s">
        <v>436</v>
      </c>
      <c r="C146" s="394" t="s">
        <v>414</v>
      </c>
      <c r="D146" s="394" t="s">
        <v>437</v>
      </c>
      <c r="E146" s="257">
        <f t="shared" si="118"/>
        <v>369575</v>
      </c>
      <c r="F146" s="249">
        <f>((370575)+100000)-101000</f>
        <v>369575</v>
      </c>
      <c r="G146" s="249"/>
      <c r="H146" s="249"/>
      <c r="I146" s="249"/>
      <c r="J146" s="393">
        <f t="shared" si="112"/>
        <v>0</v>
      </c>
      <c r="K146" s="311"/>
      <c r="L146" s="249"/>
      <c r="M146" s="249"/>
      <c r="N146" s="249"/>
      <c r="O146" s="266">
        <f t="shared" si="113"/>
        <v>0</v>
      </c>
      <c r="P146" s="393">
        <f t="shared" ref="P146:P151" si="119">E146+J146</f>
        <v>369575</v>
      </c>
    </row>
    <row r="147" spans="1:18" ht="91.5" x14ac:dyDescent="0.2">
      <c r="A147" s="394" t="s">
        <v>421</v>
      </c>
      <c r="B147" s="394" t="s">
        <v>422</v>
      </c>
      <c r="C147" s="394" t="s">
        <v>414</v>
      </c>
      <c r="D147" s="394" t="s">
        <v>423</v>
      </c>
      <c r="E147" s="257">
        <f t="shared" si="118"/>
        <v>129685988</v>
      </c>
      <c r="F147" s="249">
        <f>((119582180)+6010045)+4093763</f>
        <v>129685988</v>
      </c>
      <c r="G147" s="249"/>
      <c r="H147" s="249">
        <f>((10000)+5000)+40000</f>
        <v>55000</v>
      </c>
      <c r="I147" s="249"/>
      <c r="J147" s="393">
        <f t="shared" si="112"/>
        <v>22216452</v>
      </c>
      <c r="K147" s="311">
        <f>((24145451)-184050)-1744949</f>
        <v>22216452</v>
      </c>
      <c r="L147" s="249"/>
      <c r="M147" s="249"/>
      <c r="N147" s="249"/>
      <c r="O147" s="266">
        <f t="shared" si="113"/>
        <v>22216452</v>
      </c>
      <c r="P147" s="393">
        <f t="shared" si="119"/>
        <v>151902440</v>
      </c>
    </row>
    <row r="148" spans="1:18" ht="92.25" x14ac:dyDescent="0.2">
      <c r="A148" s="394" t="s">
        <v>445</v>
      </c>
      <c r="B148" s="394" t="s">
        <v>446</v>
      </c>
      <c r="C148" s="394" t="s">
        <v>444</v>
      </c>
      <c r="D148" s="394" t="s">
        <v>447</v>
      </c>
      <c r="E148" s="257">
        <f t="shared" si="118"/>
        <v>0</v>
      </c>
      <c r="F148" s="249"/>
      <c r="G148" s="249"/>
      <c r="H148" s="249"/>
      <c r="I148" s="249"/>
      <c r="J148" s="393">
        <f>L148+O148</f>
        <v>8368600</v>
      </c>
      <c r="K148" s="311">
        <f>((((18518000)-4000000-8818000)+2728600)+200000)-260000</f>
        <v>8368600</v>
      </c>
      <c r="L148" s="249"/>
      <c r="M148" s="249"/>
      <c r="N148" s="249"/>
      <c r="O148" s="266">
        <f>K148</f>
        <v>8368600</v>
      </c>
      <c r="P148" s="393">
        <f t="shared" si="119"/>
        <v>8368600</v>
      </c>
    </row>
    <row r="149" spans="1:18" ht="137.25" x14ac:dyDescent="0.2">
      <c r="A149" s="394" t="s">
        <v>830</v>
      </c>
      <c r="B149" s="394" t="s">
        <v>559</v>
      </c>
      <c r="C149" s="394" t="s">
        <v>250</v>
      </c>
      <c r="D149" s="394" t="s">
        <v>392</v>
      </c>
      <c r="E149" s="257">
        <f t="shared" ref="E149" si="120">F149</f>
        <v>0</v>
      </c>
      <c r="F149" s="249"/>
      <c r="G149" s="249"/>
      <c r="H149" s="249"/>
      <c r="I149" s="249"/>
      <c r="J149" s="393">
        <f>L149+O149</f>
        <v>38028000</v>
      </c>
      <c r="K149" s="311">
        <v>38028000</v>
      </c>
      <c r="L149" s="249"/>
      <c r="M149" s="249"/>
      <c r="N149" s="249"/>
      <c r="O149" s="266">
        <f>K149</f>
        <v>38028000</v>
      </c>
      <c r="P149" s="393">
        <f t="shared" si="119"/>
        <v>38028000</v>
      </c>
    </row>
    <row r="150" spans="1:18" ht="91.5" x14ac:dyDescent="0.2">
      <c r="A150" s="394" t="s">
        <v>700</v>
      </c>
      <c r="B150" s="394" t="s">
        <v>701</v>
      </c>
      <c r="C150" s="394" t="s">
        <v>702</v>
      </c>
      <c r="D150" s="394" t="s">
        <v>703</v>
      </c>
      <c r="E150" s="257">
        <f t="shared" si="118"/>
        <v>0</v>
      </c>
      <c r="F150" s="249">
        <f>((10620634)+5767000)-16387634</f>
        <v>0</v>
      </c>
      <c r="G150" s="249"/>
      <c r="H150" s="249"/>
      <c r="I150" s="249"/>
      <c r="J150" s="393">
        <f t="shared" si="112"/>
        <v>0</v>
      </c>
      <c r="K150" s="311"/>
      <c r="L150" s="249"/>
      <c r="M150" s="249"/>
      <c r="N150" s="249"/>
      <c r="O150" s="266">
        <f t="shared" si="113"/>
        <v>0</v>
      </c>
      <c r="P150" s="393">
        <f t="shared" si="119"/>
        <v>0</v>
      </c>
    </row>
    <row r="151" spans="1:18" ht="91.5" x14ac:dyDescent="0.2">
      <c r="A151" s="394" t="s">
        <v>424</v>
      </c>
      <c r="B151" s="394" t="s">
        <v>425</v>
      </c>
      <c r="C151" s="394" t="s">
        <v>427</v>
      </c>
      <c r="D151" s="394" t="s">
        <v>426</v>
      </c>
      <c r="E151" s="257">
        <f t="shared" si="118"/>
        <v>22184030</v>
      </c>
      <c r="F151" s="249">
        <f>(((16217135)+9633000)-1367600)-906505-1392000</f>
        <v>22184030</v>
      </c>
      <c r="G151" s="249"/>
      <c r="H151" s="249"/>
      <c r="I151" s="249"/>
      <c r="J151" s="393">
        <f t="shared" si="112"/>
        <v>0</v>
      </c>
      <c r="K151" s="311"/>
      <c r="L151" s="249"/>
      <c r="M151" s="249"/>
      <c r="N151" s="249"/>
      <c r="O151" s="266">
        <f t="shared" si="113"/>
        <v>0</v>
      </c>
      <c r="P151" s="393">
        <f t="shared" si="119"/>
        <v>22184030</v>
      </c>
    </row>
    <row r="152" spans="1:18" ht="228.75" x14ac:dyDescent="0.2">
      <c r="A152" s="394" t="s">
        <v>428</v>
      </c>
      <c r="B152" s="394" t="s">
        <v>429</v>
      </c>
      <c r="C152" s="394" t="s">
        <v>431</v>
      </c>
      <c r="D152" s="394" t="s">
        <v>430</v>
      </c>
      <c r="E152" s="257">
        <f t="shared" si="118"/>
        <v>65804675</v>
      </c>
      <c r="F152" s="249">
        <f>(66101675)-297000</f>
        <v>65804675</v>
      </c>
      <c r="G152" s="249"/>
      <c r="H152" s="249"/>
      <c r="I152" s="249"/>
      <c r="J152" s="393">
        <f t="shared" si="112"/>
        <v>80246710.780000001</v>
      </c>
      <c r="K152" s="249">
        <f>((82763108-570000)+3377030.11-31243.48-250000+31-1000000-500000-372000)-3200000</f>
        <v>80216925.629999995</v>
      </c>
      <c r="L152" s="264"/>
      <c r="M152" s="264"/>
      <c r="N152" s="264"/>
      <c r="O152" s="266">
        <f>(K152+31243.48)-1458.33</f>
        <v>80246710.780000001</v>
      </c>
      <c r="P152" s="393">
        <f>+J152+E152</f>
        <v>146051385.78</v>
      </c>
    </row>
    <row r="153" spans="1:18" s="255" customFormat="1" ht="228.75" x14ac:dyDescent="0.2">
      <c r="A153" s="394" t="s">
        <v>935</v>
      </c>
      <c r="B153" s="394" t="s">
        <v>936</v>
      </c>
      <c r="C153" s="394" t="s">
        <v>431</v>
      </c>
      <c r="D153" s="394" t="s">
        <v>937</v>
      </c>
      <c r="E153" s="257">
        <f t="shared" ref="E153" si="121">F153</f>
        <v>0</v>
      </c>
      <c r="F153" s="249"/>
      <c r="G153" s="249"/>
      <c r="H153" s="249"/>
      <c r="I153" s="249"/>
      <c r="J153" s="393">
        <f t="shared" ref="J153" si="122">L153+O153</f>
        <v>1400000</v>
      </c>
      <c r="K153" s="249">
        <v>1400000</v>
      </c>
      <c r="L153" s="264"/>
      <c r="M153" s="264"/>
      <c r="N153" s="264"/>
      <c r="O153" s="266">
        <f>K153</f>
        <v>1400000</v>
      </c>
      <c r="P153" s="393">
        <f>+J153+E153</f>
        <v>1400000</v>
      </c>
    </row>
    <row r="154" spans="1:18" ht="46.5" x14ac:dyDescent="0.2">
      <c r="A154" s="394" t="s">
        <v>432</v>
      </c>
      <c r="B154" s="394" t="s">
        <v>311</v>
      </c>
      <c r="C154" s="394" t="s">
        <v>312</v>
      </c>
      <c r="D154" s="394" t="s">
        <v>67</v>
      </c>
      <c r="E154" s="257">
        <f t="shared" si="118"/>
        <v>550000</v>
      </c>
      <c r="F154" s="249">
        <f>(250000)+300000</f>
        <v>550000</v>
      </c>
      <c r="G154" s="249"/>
      <c r="H154" s="249"/>
      <c r="I154" s="249"/>
      <c r="J154" s="393">
        <f t="shared" si="112"/>
        <v>950000</v>
      </c>
      <c r="K154" s="311">
        <f>(1000000+250000)-300000</f>
        <v>950000</v>
      </c>
      <c r="L154" s="249"/>
      <c r="M154" s="249"/>
      <c r="N154" s="249"/>
      <c r="O154" s="266">
        <f t="shared" si="113"/>
        <v>950000</v>
      </c>
      <c r="P154" s="393">
        <f>E154+J154</f>
        <v>1500000</v>
      </c>
    </row>
    <row r="155" spans="1:18" ht="91.5" x14ac:dyDescent="0.65">
      <c r="A155" s="394" t="s">
        <v>449</v>
      </c>
      <c r="B155" s="394" t="s">
        <v>287</v>
      </c>
      <c r="C155" s="394" t="s">
        <v>250</v>
      </c>
      <c r="D155" s="394" t="s">
        <v>57</v>
      </c>
      <c r="E155" s="257">
        <f t="shared" si="118"/>
        <v>0</v>
      </c>
      <c r="F155" s="249"/>
      <c r="G155" s="249"/>
      <c r="H155" s="249"/>
      <c r="I155" s="249"/>
      <c r="J155" s="393">
        <f t="shared" si="112"/>
        <v>49466966.68</v>
      </c>
      <c r="K155" s="311">
        <f>((41440992.68)+836400+7000000)+189574</f>
        <v>49466966.68</v>
      </c>
      <c r="L155" s="249"/>
      <c r="M155" s="249"/>
      <c r="N155" s="249"/>
      <c r="O155" s="266">
        <f t="shared" si="113"/>
        <v>49466966.68</v>
      </c>
      <c r="P155" s="393">
        <f>E155+J155</f>
        <v>49466966.68</v>
      </c>
      <c r="Q155" s="157"/>
    </row>
    <row r="156" spans="1:18" ht="409.5" x14ac:dyDescent="0.2">
      <c r="A156" s="476" t="s">
        <v>724</v>
      </c>
      <c r="B156" s="476" t="s">
        <v>525</v>
      </c>
      <c r="C156" s="476" t="s">
        <v>250</v>
      </c>
      <c r="D156" s="267" t="s">
        <v>536</v>
      </c>
      <c r="E156" s="486">
        <f t="shared" si="118"/>
        <v>0</v>
      </c>
      <c r="F156" s="482"/>
      <c r="G156" s="482"/>
      <c r="H156" s="482"/>
      <c r="I156" s="482"/>
      <c r="J156" s="488">
        <f t="shared" si="112"/>
        <v>1001137</v>
      </c>
      <c r="K156" s="482"/>
      <c r="L156" s="482">
        <f>(1424137)-423000</f>
        <v>1001137</v>
      </c>
      <c r="M156" s="482"/>
      <c r="N156" s="482"/>
      <c r="O156" s="493">
        <f>K156+0</f>
        <v>0</v>
      </c>
      <c r="P156" s="486">
        <f>E156+J156</f>
        <v>1001137</v>
      </c>
      <c r="Q156" s="217">
        <f>P156</f>
        <v>1001137</v>
      </c>
    </row>
    <row r="157" spans="1:18" ht="137.25" x14ac:dyDescent="0.65">
      <c r="A157" s="513"/>
      <c r="B157" s="513"/>
      <c r="C157" s="513"/>
      <c r="D157" s="268" t="s">
        <v>537</v>
      </c>
      <c r="E157" s="512"/>
      <c r="F157" s="496"/>
      <c r="G157" s="496"/>
      <c r="H157" s="496"/>
      <c r="I157" s="496"/>
      <c r="J157" s="497"/>
      <c r="K157" s="496"/>
      <c r="L157" s="496"/>
      <c r="M157" s="496"/>
      <c r="N157" s="496"/>
      <c r="O157" s="508"/>
      <c r="P157" s="512"/>
      <c r="Q157" s="157"/>
    </row>
    <row r="158" spans="1:18" ht="91.5" x14ac:dyDescent="0.2">
      <c r="A158" s="282" t="s">
        <v>379</v>
      </c>
      <c r="B158" s="282" t="s">
        <v>380</v>
      </c>
      <c r="C158" s="282" t="s">
        <v>381</v>
      </c>
      <c r="D158" s="282" t="s">
        <v>378</v>
      </c>
      <c r="E158" s="257">
        <f t="shared" si="118"/>
        <v>1278010</v>
      </c>
      <c r="F158" s="249">
        <f>(1250990)+27020</f>
        <v>1278010</v>
      </c>
      <c r="G158" s="249">
        <f>(843750+143550)+31848</f>
        <v>1019148</v>
      </c>
      <c r="H158" s="249">
        <v>12600</v>
      </c>
      <c r="I158" s="249"/>
      <c r="J158" s="338">
        <f>L158+O158</f>
        <v>0</v>
      </c>
      <c r="K158" s="311"/>
      <c r="L158" s="249"/>
      <c r="M158" s="249"/>
      <c r="N158" s="249"/>
      <c r="O158" s="266">
        <f>K158</f>
        <v>0</v>
      </c>
      <c r="P158" s="338">
        <f>E158+J158</f>
        <v>1278010</v>
      </c>
    </row>
    <row r="159" spans="1:18" ht="270" x14ac:dyDescent="0.2">
      <c r="A159" s="327" t="s">
        <v>44</v>
      </c>
      <c r="B159" s="327"/>
      <c r="C159" s="327"/>
      <c r="D159" s="328" t="s">
        <v>619</v>
      </c>
      <c r="E159" s="329">
        <f>E160</f>
        <v>2423910</v>
      </c>
      <c r="F159" s="329">
        <f t="shared" ref="F159" si="123">F160</f>
        <v>2423910</v>
      </c>
      <c r="G159" s="329">
        <f t="shared" ref="G159" si="124">G160</f>
        <v>1821300</v>
      </c>
      <c r="H159" s="329">
        <f>H160</f>
        <v>52410</v>
      </c>
      <c r="I159" s="329">
        <f t="shared" ref="I159" si="125">I160</f>
        <v>0</v>
      </c>
      <c r="J159" s="329">
        <f>J160</f>
        <v>114848560</v>
      </c>
      <c r="K159" s="329">
        <f>K160</f>
        <v>114848560</v>
      </c>
      <c r="L159" s="329">
        <f>L160</f>
        <v>0</v>
      </c>
      <c r="M159" s="329">
        <f t="shared" ref="M159" si="126">M160</f>
        <v>0</v>
      </c>
      <c r="N159" s="329">
        <f>N160</f>
        <v>0</v>
      </c>
      <c r="O159" s="329">
        <f>O160</f>
        <v>114848560</v>
      </c>
      <c r="P159" s="329">
        <f t="shared" ref="P159" si="127">P160</f>
        <v>117272470</v>
      </c>
    </row>
    <row r="160" spans="1:18" ht="270" x14ac:dyDescent="0.2">
      <c r="A160" s="324" t="s">
        <v>45</v>
      </c>
      <c r="B160" s="324"/>
      <c r="C160" s="324"/>
      <c r="D160" s="325" t="s">
        <v>618</v>
      </c>
      <c r="E160" s="326">
        <f>SUM(E161:E167)</f>
        <v>2423910</v>
      </c>
      <c r="F160" s="326">
        <f t="shared" ref="F160:K160" si="128">SUM(F161:F167)</f>
        <v>2423910</v>
      </c>
      <c r="G160" s="326">
        <f t="shared" si="128"/>
        <v>1821300</v>
      </c>
      <c r="H160" s="326">
        <f t="shared" si="128"/>
        <v>52410</v>
      </c>
      <c r="I160" s="326">
        <f t="shared" si="128"/>
        <v>0</v>
      </c>
      <c r="J160" s="326">
        <f t="shared" ref="J160:J167" si="129">L160+O160</f>
        <v>114848560</v>
      </c>
      <c r="K160" s="326">
        <f t="shared" si="128"/>
        <v>114848560</v>
      </c>
      <c r="L160" s="326">
        <f t="shared" ref="L160" si="130">SUM(L161:L167)</f>
        <v>0</v>
      </c>
      <c r="M160" s="326">
        <f t="shared" ref="M160" si="131">SUM(M161:M167)</f>
        <v>0</v>
      </c>
      <c r="N160" s="326">
        <f t="shared" ref="N160" si="132">SUM(N161:N167)</f>
        <v>0</v>
      </c>
      <c r="O160" s="326">
        <f t="shared" ref="O160" si="133">SUM(O161:O167)</f>
        <v>114848560</v>
      </c>
      <c r="P160" s="326">
        <f t="shared" ref="P160:P167" si="134">E160+J160</f>
        <v>117272470</v>
      </c>
      <c r="Q160" s="146" t="b">
        <f>P160=P164+P165+P166+P161+P162+P167+P163</f>
        <v>1</v>
      </c>
      <c r="R160" s="147" t="b">
        <f>K160='d5'!I157</f>
        <v>1</v>
      </c>
    </row>
    <row r="161" spans="1:18" ht="228.75" x14ac:dyDescent="0.2">
      <c r="A161" s="282" t="s">
        <v>713</v>
      </c>
      <c r="B161" s="282" t="s">
        <v>335</v>
      </c>
      <c r="C161" s="282" t="s">
        <v>333</v>
      </c>
      <c r="D161" s="282" t="s">
        <v>334</v>
      </c>
      <c r="E161" s="312">
        <f>F161</f>
        <v>2423910</v>
      </c>
      <c r="F161" s="311">
        <f>(((2696500)-289700+55000)+95000+16000-16000-43760)-89130</f>
        <v>2423910</v>
      </c>
      <c r="G161" s="311">
        <f>((1776300)+95000)-50000</f>
        <v>1821300</v>
      </c>
      <c r="H161" s="311">
        <f>((100000)-43760)-300+1470-5000</f>
        <v>52410</v>
      </c>
      <c r="I161" s="311"/>
      <c r="J161" s="338">
        <f t="shared" si="129"/>
        <v>14060</v>
      </c>
      <c r="K161" s="311">
        <f>((10400)+7480)-3820</f>
        <v>14060</v>
      </c>
      <c r="L161" s="311"/>
      <c r="M161" s="311"/>
      <c r="N161" s="311"/>
      <c r="O161" s="266">
        <f>K161</f>
        <v>14060</v>
      </c>
      <c r="P161" s="338">
        <f t="shared" si="134"/>
        <v>2437970</v>
      </c>
      <c r="Q161" s="146"/>
      <c r="R161" s="147" t="b">
        <f>K161='d5'!I158</f>
        <v>1</v>
      </c>
    </row>
    <row r="162" spans="1:18" ht="91.5" x14ac:dyDescent="0.2">
      <c r="A162" s="282" t="s">
        <v>804</v>
      </c>
      <c r="B162" s="282" t="s">
        <v>71</v>
      </c>
      <c r="C162" s="282" t="s">
        <v>70</v>
      </c>
      <c r="D162" s="282" t="s">
        <v>348</v>
      </c>
      <c r="E162" s="312">
        <f>F162</f>
        <v>0</v>
      </c>
      <c r="F162" s="311">
        <f>((289700+266000)-140000-19850)-395850</f>
        <v>0</v>
      </c>
      <c r="G162" s="311"/>
      <c r="H162" s="311"/>
      <c r="I162" s="311"/>
      <c r="J162" s="338">
        <f t="shared" si="129"/>
        <v>0</v>
      </c>
      <c r="K162" s="311"/>
      <c r="L162" s="311"/>
      <c r="M162" s="311"/>
      <c r="N162" s="311"/>
      <c r="O162" s="266">
        <f t="shared" ref="O162:O163" si="135">K162</f>
        <v>0</v>
      </c>
      <c r="P162" s="338">
        <f t="shared" si="134"/>
        <v>0</v>
      </c>
      <c r="Q162" s="146"/>
      <c r="R162" s="147"/>
    </row>
    <row r="163" spans="1:18" ht="274.5" x14ac:dyDescent="0.2">
      <c r="A163" s="282" t="s">
        <v>808</v>
      </c>
      <c r="B163" s="282" t="s">
        <v>810</v>
      </c>
      <c r="C163" s="282" t="s">
        <v>285</v>
      </c>
      <c r="D163" s="282" t="s">
        <v>809</v>
      </c>
      <c r="E163" s="312">
        <f t="shared" ref="E163" si="136">F163</f>
        <v>0</v>
      </c>
      <c r="F163" s="311"/>
      <c r="G163" s="311"/>
      <c r="H163" s="311"/>
      <c r="I163" s="311"/>
      <c r="J163" s="338">
        <f t="shared" si="129"/>
        <v>46287000</v>
      </c>
      <c r="K163" s="311">
        <f>((55287000)-12500000)+3500000</f>
        <v>46287000</v>
      </c>
      <c r="L163" s="311"/>
      <c r="M163" s="311"/>
      <c r="N163" s="311"/>
      <c r="O163" s="266">
        <f t="shared" si="135"/>
        <v>46287000</v>
      </c>
      <c r="P163" s="338">
        <f t="shared" si="134"/>
        <v>46287000</v>
      </c>
      <c r="Q163" s="146"/>
      <c r="R163" s="147"/>
    </row>
    <row r="164" spans="1:18" ht="91.5" x14ac:dyDescent="0.2">
      <c r="A164" s="282" t="s">
        <v>463</v>
      </c>
      <c r="B164" s="282" t="s">
        <v>464</v>
      </c>
      <c r="C164" s="282" t="s">
        <v>444</v>
      </c>
      <c r="D164" s="282" t="s">
        <v>462</v>
      </c>
      <c r="E164" s="312">
        <f t="shared" ref="E164:E165" si="137">F164</f>
        <v>0</v>
      </c>
      <c r="F164" s="311"/>
      <c r="G164" s="311"/>
      <c r="H164" s="311"/>
      <c r="I164" s="311"/>
      <c r="J164" s="338">
        <f t="shared" si="129"/>
        <v>25880000</v>
      </c>
      <c r="K164" s="311">
        <f>((19400000)+4500000)+1980000</f>
        <v>25880000</v>
      </c>
      <c r="L164" s="311"/>
      <c r="M164" s="311"/>
      <c r="N164" s="311"/>
      <c r="O164" s="266">
        <f>K164</f>
        <v>25880000</v>
      </c>
      <c r="P164" s="338">
        <f t="shared" si="134"/>
        <v>25880000</v>
      </c>
    </row>
    <row r="165" spans="1:18" ht="137.25" x14ac:dyDescent="0.2">
      <c r="A165" s="282" t="s">
        <v>465</v>
      </c>
      <c r="B165" s="282" t="s">
        <v>466</v>
      </c>
      <c r="C165" s="282" t="s">
        <v>444</v>
      </c>
      <c r="D165" s="282" t="s">
        <v>467</v>
      </c>
      <c r="E165" s="312">
        <f t="shared" si="137"/>
        <v>0</v>
      </c>
      <c r="F165" s="311"/>
      <c r="G165" s="311"/>
      <c r="H165" s="311"/>
      <c r="I165" s="311"/>
      <c r="J165" s="338">
        <f t="shared" si="129"/>
        <v>500000</v>
      </c>
      <c r="K165" s="311">
        <f>(((4500000+1400000-4500000)-900000)+450000)-450000</f>
        <v>500000</v>
      </c>
      <c r="L165" s="311"/>
      <c r="M165" s="311"/>
      <c r="N165" s="311"/>
      <c r="O165" s="266">
        <f>K165</f>
        <v>500000</v>
      </c>
      <c r="P165" s="338">
        <f t="shared" si="134"/>
        <v>500000</v>
      </c>
    </row>
    <row r="166" spans="1:18" ht="91.5" x14ac:dyDescent="0.2">
      <c r="A166" s="282" t="s">
        <v>468</v>
      </c>
      <c r="B166" s="282" t="s">
        <v>469</v>
      </c>
      <c r="C166" s="282" t="s">
        <v>444</v>
      </c>
      <c r="D166" s="282" t="s">
        <v>815</v>
      </c>
      <c r="E166" s="312">
        <f>F166</f>
        <v>0</v>
      </c>
      <c r="F166" s="311"/>
      <c r="G166" s="311"/>
      <c r="H166" s="311"/>
      <c r="I166" s="311"/>
      <c r="J166" s="338">
        <f t="shared" si="129"/>
        <v>14967500</v>
      </c>
      <c r="K166" s="311">
        <f>(((11500000+1666200)-2000000)+6050000)-248700-2000000</f>
        <v>14967500</v>
      </c>
      <c r="L166" s="311"/>
      <c r="M166" s="311"/>
      <c r="N166" s="311"/>
      <c r="O166" s="266">
        <f>K166</f>
        <v>14967500</v>
      </c>
      <c r="P166" s="338">
        <f t="shared" si="134"/>
        <v>14967500</v>
      </c>
    </row>
    <row r="167" spans="1:18" ht="137.25" x14ac:dyDescent="0.2">
      <c r="A167" s="282" t="s">
        <v>903</v>
      </c>
      <c r="B167" s="282" t="s">
        <v>559</v>
      </c>
      <c r="C167" s="282" t="s">
        <v>250</v>
      </c>
      <c r="D167" s="282" t="s">
        <v>392</v>
      </c>
      <c r="E167" s="312">
        <f>F167</f>
        <v>0</v>
      </c>
      <c r="F167" s="311"/>
      <c r="G167" s="311"/>
      <c r="H167" s="311"/>
      <c r="I167" s="311"/>
      <c r="J167" s="338">
        <f t="shared" si="129"/>
        <v>27200000</v>
      </c>
      <c r="K167" s="311">
        <f>(25700000)+1500000</f>
        <v>27200000</v>
      </c>
      <c r="L167" s="311"/>
      <c r="M167" s="311"/>
      <c r="N167" s="311"/>
      <c r="O167" s="266">
        <f>K167</f>
        <v>27200000</v>
      </c>
      <c r="P167" s="338">
        <f t="shared" si="134"/>
        <v>27200000</v>
      </c>
    </row>
    <row r="168" spans="1:18" ht="225" x14ac:dyDescent="0.2">
      <c r="A168" s="327" t="s">
        <v>240</v>
      </c>
      <c r="B168" s="327"/>
      <c r="C168" s="327"/>
      <c r="D168" s="328" t="s">
        <v>46</v>
      </c>
      <c r="E168" s="329">
        <f>E169</f>
        <v>3707080</v>
      </c>
      <c r="F168" s="329">
        <f t="shared" ref="F168" si="138">F169</f>
        <v>3707080</v>
      </c>
      <c r="G168" s="329">
        <f t="shared" ref="G168" si="139">G169</f>
        <v>2516480</v>
      </c>
      <c r="H168" s="329">
        <f>H169</f>
        <v>107000</v>
      </c>
      <c r="I168" s="329">
        <f t="shared" ref="I168" si="140">I169</f>
        <v>0</v>
      </c>
      <c r="J168" s="329">
        <f>J169</f>
        <v>108400</v>
      </c>
      <c r="K168" s="329">
        <f>K169</f>
        <v>108400</v>
      </c>
      <c r="L168" s="329">
        <f>L169</f>
        <v>0</v>
      </c>
      <c r="M168" s="329">
        <f t="shared" ref="M168" si="141">M169</f>
        <v>0</v>
      </c>
      <c r="N168" s="329">
        <f>N169</f>
        <v>0</v>
      </c>
      <c r="O168" s="329">
        <f>O169</f>
        <v>108400</v>
      </c>
      <c r="P168" s="329">
        <f t="shared" ref="P168" si="142">P169</f>
        <v>3815480</v>
      </c>
    </row>
    <row r="169" spans="1:18" ht="225" x14ac:dyDescent="0.2">
      <c r="A169" s="324" t="s">
        <v>241</v>
      </c>
      <c r="B169" s="324"/>
      <c r="C169" s="324"/>
      <c r="D169" s="325" t="s">
        <v>64</v>
      </c>
      <c r="E169" s="326">
        <f>SUM(E170:E172)</f>
        <v>3707080</v>
      </c>
      <c r="F169" s="326">
        <f t="shared" ref="F169:O169" si="143">SUM(F170:F172)</f>
        <v>3707080</v>
      </c>
      <c r="G169" s="326">
        <f t="shared" si="143"/>
        <v>2516480</v>
      </c>
      <c r="H169" s="326">
        <f t="shared" si="143"/>
        <v>107000</v>
      </c>
      <c r="I169" s="326">
        <f t="shared" si="143"/>
        <v>0</v>
      </c>
      <c r="J169" s="326">
        <f>L169+O169</f>
        <v>108400</v>
      </c>
      <c r="K169" s="326">
        <f t="shared" si="143"/>
        <v>108400</v>
      </c>
      <c r="L169" s="326">
        <f t="shared" si="143"/>
        <v>0</v>
      </c>
      <c r="M169" s="326">
        <f t="shared" si="143"/>
        <v>0</v>
      </c>
      <c r="N169" s="326">
        <f t="shared" si="143"/>
        <v>0</v>
      </c>
      <c r="O169" s="326">
        <f t="shared" si="143"/>
        <v>108400</v>
      </c>
      <c r="P169" s="326">
        <f>E169+J169</f>
        <v>3815480</v>
      </c>
      <c r="Q169" s="146" t="b">
        <f>P169=P172+P170+P171</f>
        <v>1</v>
      </c>
      <c r="R169" s="147" t="b">
        <f>K169='d5'!I180</f>
        <v>1</v>
      </c>
    </row>
    <row r="170" spans="1:18" ht="228.75" x14ac:dyDescent="0.2">
      <c r="A170" s="282" t="s">
        <v>715</v>
      </c>
      <c r="B170" s="282" t="s">
        <v>335</v>
      </c>
      <c r="C170" s="282" t="s">
        <v>333</v>
      </c>
      <c r="D170" s="282" t="s">
        <v>334</v>
      </c>
      <c r="E170" s="312">
        <f>F170</f>
        <v>3508480</v>
      </c>
      <c r="F170" s="311">
        <f>(((3880500)+55000)-46920+27400)-407500</f>
        <v>3508480</v>
      </c>
      <c r="G170" s="311">
        <f>((2850700)-46920)-287300</f>
        <v>2516480</v>
      </c>
      <c r="H170" s="311">
        <v>107000</v>
      </c>
      <c r="I170" s="311"/>
      <c r="J170" s="338">
        <f>L170+O170</f>
        <v>38400</v>
      </c>
      <c r="K170" s="311">
        <f>(26500)-3700+15600</f>
        <v>38400</v>
      </c>
      <c r="L170" s="311"/>
      <c r="M170" s="311"/>
      <c r="N170" s="311"/>
      <c r="O170" s="266">
        <f>K170</f>
        <v>38400</v>
      </c>
      <c r="P170" s="338">
        <f>E170+J170</f>
        <v>3546880</v>
      </c>
      <c r="Q170" s="146"/>
      <c r="R170" s="283" t="b">
        <f>K170='d5'!I183</f>
        <v>1</v>
      </c>
    </row>
    <row r="171" spans="1:18" s="281" customFormat="1" ht="91.5" x14ac:dyDescent="0.2">
      <c r="A171" s="282" t="s">
        <v>946</v>
      </c>
      <c r="B171" s="282" t="s">
        <v>71</v>
      </c>
      <c r="C171" s="282" t="s">
        <v>70</v>
      </c>
      <c r="D171" s="282" t="s">
        <v>348</v>
      </c>
      <c r="E171" s="312">
        <f t="shared" ref="E171" si="144">F171</f>
        <v>198600</v>
      </c>
      <c r="F171" s="311">
        <v>198600</v>
      </c>
      <c r="G171" s="311"/>
      <c r="H171" s="311"/>
      <c r="I171" s="311"/>
      <c r="J171" s="338">
        <f t="shared" ref="J171" si="145">L171+O171</f>
        <v>0</v>
      </c>
      <c r="K171" s="311"/>
      <c r="L171" s="311"/>
      <c r="M171" s="311"/>
      <c r="N171" s="311"/>
      <c r="O171" s="266">
        <f>K171</f>
        <v>0</v>
      </c>
      <c r="P171" s="338">
        <f>E171+J171</f>
        <v>198600</v>
      </c>
      <c r="Q171" s="345"/>
      <c r="R171" s="283"/>
    </row>
    <row r="172" spans="1:18" ht="137.25" x14ac:dyDescent="0.2">
      <c r="A172" s="282" t="s">
        <v>454</v>
      </c>
      <c r="B172" s="282" t="s">
        <v>455</v>
      </c>
      <c r="C172" s="282" t="s">
        <v>444</v>
      </c>
      <c r="D172" s="282" t="s">
        <v>456</v>
      </c>
      <c r="E172" s="312">
        <f>F172</f>
        <v>0</v>
      </c>
      <c r="F172" s="311">
        <v>0</v>
      </c>
      <c r="G172" s="311"/>
      <c r="H172" s="311"/>
      <c r="I172" s="311"/>
      <c r="J172" s="338">
        <f>L172+O172</f>
        <v>70000</v>
      </c>
      <c r="K172" s="311">
        <f>((2000000)-1500000)-500000+70000</f>
        <v>70000</v>
      </c>
      <c r="L172" s="311"/>
      <c r="M172" s="311"/>
      <c r="N172" s="311"/>
      <c r="O172" s="266">
        <f>K172</f>
        <v>70000</v>
      </c>
      <c r="P172" s="338">
        <f>E172+J172</f>
        <v>70000</v>
      </c>
      <c r="Q172" s="346" t="s">
        <v>982</v>
      </c>
    </row>
    <row r="173" spans="1:18" ht="135" x14ac:dyDescent="0.2">
      <c r="A173" s="327" t="s">
        <v>246</v>
      </c>
      <c r="B173" s="327"/>
      <c r="C173" s="327"/>
      <c r="D173" s="328" t="s">
        <v>563</v>
      </c>
      <c r="E173" s="329">
        <f>E174</f>
        <v>7200430.4800000004</v>
      </c>
      <c r="F173" s="329">
        <f t="shared" ref="F173" si="146">F174</f>
        <v>7200430.4800000004</v>
      </c>
      <c r="G173" s="329">
        <f t="shared" ref="G173" si="147">G174</f>
        <v>0</v>
      </c>
      <c r="H173" s="329">
        <f>H174</f>
        <v>0</v>
      </c>
      <c r="I173" s="329">
        <f t="shared" ref="I173" si="148">I174</f>
        <v>0</v>
      </c>
      <c r="J173" s="329">
        <f>J174</f>
        <v>2354114.52</v>
      </c>
      <c r="K173" s="329">
        <f>K174</f>
        <v>2354114.52</v>
      </c>
      <c r="L173" s="329">
        <f>L174</f>
        <v>0</v>
      </c>
      <c r="M173" s="329">
        <f t="shared" ref="M173" si="149">M174</f>
        <v>0</v>
      </c>
      <c r="N173" s="329">
        <f>N174</f>
        <v>0</v>
      </c>
      <c r="O173" s="329">
        <f>O174</f>
        <v>2354114.52</v>
      </c>
      <c r="P173" s="329">
        <f t="shared" ref="P173" si="150">P174</f>
        <v>9554545</v>
      </c>
    </row>
    <row r="174" spans="1:18" ht="135" x14ac:dyDescent="0.2">
      <c r="A174" s="324" t="s">
        <v>247</v>
      </c>
      <c r="B174" s="324"/>
      <c r="C174" s="324"/>
      <c r="D174" s="325" t="s">
        <v>564</v>
      </c>
      <c r="E174" s="326">
        <f>SUM(E175:E179)</f>
        <v>7200430.4800000004</v>
      </c>
      <c r="F174" s="326">
        <f t="shared" ref="F174:K174" si="151">SUM(F175:F179)</f>
        <v>7200430.4800000004</v>
      </c>
      <c r="G174" s="326">
        <f t="shared" si="151"/>
        <v>0</v>
      </c>
      <c r="H174" s="326">
        <f t="shared" si="151"/>
        <v>0</v>
      </c>
      <c r="I174" s="326">
        <f t="shared" si="151"/>
        <v>0</v>
      </c>
      <c r="J174" s="326">
        <f t="shared" ref="J174:J179" si="152">L174+O174</f>
        <v>2354114.52</v>
      </c>
      <c r="K174" s="326">
        <f t="shared" si="151"/>
        <v>2354114.52</v>
      </c>
      <c r="L174" s="326">
        <f t="shared" ref="L174" si="153">SUM(L175:L179)</f>
        <v>0</v>
      </c>
      <c r="M174" s="326">
        <f t="shared" ref="M174" si="154">SUM(M175:M179)</f>
        <v>0</v>
      </c>
      <c r="N174" s="326">
        <f t="shared" ref="N174:O174" si="155">SUM(N175:N179)</f>
        <v>0</v>
      </c>
      <c r="O174" s="326">
        <f t="shared" si="155"/>
        <v>2354114.52</v>
      </c>
      <c r="P174" s="326">
        <f t="shared" ref="P174:P179" si="156">E174+J174</f>
        <v>9554545</v>
      </c>
      <c r="Q174" s="146" t="b">
        <f>P174=P175+P176+P177+P178+P179</f>
        <v>1</v>
      </c>
      <c r="R174" s="147" t="b">
        <f>K174='d5'!I187</f>
        <v>1</v>
      </c>
    </row>
    <row r="175" spans="1:18" ht="137.25" hidden="1" x14ac:dyDescent="0.2">
      <c r="A175" s="251" t="s">
        <v>558</v>
      </c>
      <c r="B175" s="251" t="s">
        <v>559</v>
      </c>
      <c r="C175" s="251" t="s">
        <v>250</v>
      </c>
      <c r="D175" s="251" t="s">
        <v>392</v>
      </c>
      <c r="E175" s="318">
        <f>F175</f>
        <v>0</v>
      </c>
      <c r="F175" s="316"/>
      <c r="G175" s="316"/>
      <c r="H175" s="316"/>
      <c r="I175" s="316"/>
      <c r="J175" s="318">
        <f t="shared" si="152"/>
        <v>0</v>
      </c>
      <c r="K175" s="316">
        <f>(2000000)-2000000</f>
        <v>0</v>
      </c>
      <c r="L175" s="316"/>
      <c r="M175" s="316"/>
      <c r="N175" s="316"/>
      <c r="O175" s="323">
        <f>K175</f>
        <v>0</v>
      </c>
      <c r="P175" s="318">
        <f t="shared" si="156"/>
        <v>0</v>
      </c>
      <c r="R175" s="147"/>
    </row>
    <row r="176" spans="1:18" ht="91.5" x14ac:dyDescent="0.2">
      <c r="A176" s="294" t="s">
        <v>390</v>
      </c>
      <c r="B176" s="294" t="s">
        <v>391</v>
      </c>
      <c r="C176" s="294" t="s">
        <v>389</v>
      </c>
      <c r="D176" s="294" t="s">
        <v>388</v>
      </c>
      <c r="E176" s="312">
        <f t="shared" ref="E176:E179" si="157">F176</f>
        <v>4394349.4800000004</v>
      </c>
      <c r="F176" s="311">
        <f>(((2656650)+828350-240000+40000)-37350.52-100000)+1146700+100000</f>
        <v>4394349.4800000004</v>
      </c>
      <c r="G176" s="311"/>
      <c r="H176" s="311"/>
      <c r="I176" s="311"/>
      <c r="J176" s="338">
        <f t="shared" si="152"/>
        <v>870000</v>
      </c>
      <c r="K176" s="311">
        <f>(((570000)+200000)+100000)</f>
        <v>870000</v>
      </c>
      <c r="L176" s="311"/>
      <c r="M176" s="311"/>
      <c r="N176" s="311"/>
      <c r="O176" s="266">
        <f>K176</f>
        <v>870000</v>
      </c>
      <c r="P176" s="338">
        <f t="shared" si="156"/>
        <v>5264349.4800000004</v>
      </c>
      <c r="R176" s="147" t="b">
        <f>K176='d5'!I189</f>
        <v>1</v>
      </c>
    </row>
    <row r="177" spans="1:18" ht="137.25" x14ac:dyDescent="0.2">
      <c r="A177" s="294" t="s">
        <v>382</v>
      </c>
      <c r="B177" s="294" t="s">
        <v>384</v>
      </c>
      <c r="C177" s="294" t="s">
        <v>312</v>
      </c>
      <c r="D177" s="294" t="s">
        <v>383</v>
      </c>
      <c r="E177" s="312">
        <f t="shared" si="157"/>
        <v>320000</v>
      </c>
      <c r="F177" s="311">
        <f>(420000)-100000</f>
        <v>320000</v>
      </c>
      <c r="G177" s="311"/>
      <c r="H177" s="311"/>
      <c r="I177" s="311"/>
      <c r="J177" s="338">
        <f t="shared" si="152"/>
        <v>0</v>
      </c>
      <c r="K177" s="311"/>
      <c r="L177" s="311"/>
      <c r="M177" s="311"/>
      <c r="N177" s="311"/>
      <c r="O177" s="266">
        <f>K177</f>
        <v>0</v>
      </c>
      <c r="P177" s="338">
        <f t="shared" si="156"/>
        <v>320000</v>
      </c>
      <c r="R177" s="147"/>
    </row>
    <row r="178" spans="1:18" ht="91.5" x14ac:dyDescent="0.2">
      <c r="A178" s="294" t="s">
        <v>386</v>
      </c>
      <c r="B178" s="294" t="s">
        <v>387</v>
      </c>
      <c r="C178" s="294" t="s">
        <v>250</v>
      </c>
      <c r="D178" s="294" t="s">
        <v>385</v>
      </c>
      <c r="E178" s="312">
        <f t="shared" si="157"/>
        <v>2486081</v>
      </c>
      <c r="F178" s="311">
        <f>(((1794000)+800000-100000)+37350.52-129155)+46885.48+37000</f>
        <v>2486081</v>
      </c>
      <c r="G178" s="311"/>
      <c r="H178" s="311"/>
      <c r="I178" s="311"/>
      <c r="J178" s="338">
        <f t="shared" si="152"/>
        <v>184114.52</v>
      </c>
      <c r="K178" s="311">
        <f>(200000+1000000-1000000)-46885.48+31000</f>
        <v>184114.52</v>
      </c>
      <c r="L178" s="311"/>
      <c r="M178" s="311"/>
      <c r="N178" s="311"/>
      <c r="O178" s="266">
        <f>K178</f>
        <v>184114.52</v>
      </c>
      <c r="P178" s="338">
        <f t="shared" si="156"/>
        <v>2670195.52</v>
      </c>
      <c r="R178" s="147" t="b">
        <f>K178='d5'!I190</f>
        <v>1</v>
      </c>
    </row>
    <row r="179" spans="1:18" ht="91.5" x14ac:dyDescent="0.2">
      <c r="A179" s="294" t="s">
        <v>886</v>
      </c>
      <c r="B179" s="294" t="s">
        <v>587</v>
      </c>
      <c r="C179" s="294" t="s">
        <v>71</v>
      </c>
      <c r="D179" s="294" t="s">
        <v>588</v>
      </c>
      <c r="E179" s="312">
        <f t="shared" si="157"/>
        <v>0</v>
      </c>
      <c r="F179" s="311"/>
      <c r="G179" s="311"/>
      <c r="H179" s="311"/>
      <c r="I179" s="311"/>
      <c r="J179" s="338">
        <f t="shared" si="152"/>
        <v>1300000</v>
      </c>
      <c r="K179" s="311">
        <f>500000+1000000-1000000+800000</f>
        <v>1300000</v>
      </c>
      <c r="L179" s="311"/>
      <c r="M179" s="311"/>
      <c r="N179" s="311"/>
      <c r="O179" s="266">
        <f>K179</f>
        <v>1300000</v>
      </c>
      <c r="P179" s="338">
        <f t="shared" si="156"/>
        <v>1300000</v>
      </c>
      <c r="R179" s="147" t="b">
        <f>K179='d5'!I192+'d5'!I191</f>
        <v>1</v>
      </c>
    </row>
    <row r="180" spans="1:18" ht="135" x14ac:dyDescent="0.2">
      <c r="A180" s="327" t="s">
        <v>244</v>
      </c>
      <c r="B180" s="327"/>
      <c r="C180" s="327"/>
      <c r="D180" s="328" t="s">
        <v>47</v>
      </c>
      <c r="E180" s="329">
        <f>E181</f>
        <v>4349600</v>
      </c>
      <c r="F180" s="329">
        <f t="shared" ref="F180" si="158">F181</f>
        <v>4349600</v>
      </c>
      <c r="G180" s="329">
        <f t="shared" ref="G180" si="159">G181</f>
        <v>3303000</v>
      </c>
      <c r="H180" s="329">
        <f>H181</f>
        <v>74916</v>
      </c>
      <c r="I180" s="329">
        <f t="shared" ref="I180" si="160">I181</f>
        <v>0</v>
      </c>
      <c r="J180" s="329">
        <f>J181</f>
        <v>990905.96</v>
      </c>
      <c r="K180" s="329">
        <f>K181</f>
        <v>0</v>
      </c>
      <c r="L180" s="329">
        <f>L181</f>
        <v>271705.95999999996</v>
      </c>
      <c r="M180" s="329">
        <f t="shared" ref="M180" si="161">M181</f>
        <v>0</v>
      </c>
      <c r="N180" s="329">
        <f>N181</f>
        <v>0</v>
      </c>
      <c r="O180" s="329">
        <f>O181</f>
        <v>719200</v>
      </c>
      <c r="P180" s="329">
        <f t="shared" ref="P180" si="162">P181</f>
        <v>5340505.96</v>
      </c>
    </row>
    <row r="181" spans="1:18" ht="135" x14ac:dyDescent="0.2">
      <c r="A181" s="324" t="s">
        <v>245</v>
      </c>
      <c r="B181" s="324"/>
      <c r="C181" s="324"/>
      <c r="D181" s="325" t="s">
        <v>65</v>
      </c>
      <c r="E181" s="326">
        <f t="shared" ref="E181:N181" si="163">SUM(E182:E186)</f>
        <v>4349600</v>
      </c>
      <c r="F181" s="326">
        <f t="shared" si="163"/>
        <v>4349600</v>
      </c>
      <c r="G181" s="326">
        <f t="shared" si="163"/>
        <v>3303000</v>
      </c>
      <c r="H181" s="326">
        <f t="shared" si="163"/>
        <v>74916</v>
      </c>
      <c r="I181" s="326">
        <f t="shared" si="163"/>
        <v>0</v>
      </c>
      <c r="J181" s="326">
        <f t="shared" ref="J181:J186" si="164">L181+O181</f>
        <v>990905.96</v>
      </c>
      <c r="K181" s="326">
        <f t="shared" si="163"/>
        <v>0</v>
      </c>
      <c r="L181" s="326">
        <f t="shared" si="163"/>
        <v>271705.95999999996</v>
      </c>
      <c r="M181" s="326">
        <f t="shared" si="163"/>
        <v>0</v>
      </c>
      <c r="N181" s="326">
        <f t="shared" si="163"/>
        <v>0</v>
      </c>
      <c r="O181" s="326">
        <f>SUM(O182:O186)</f>
        <v>719200</v>
      </c>
      <c r="P181" s="326">
        <f t="shared" ref="P181:P186" si="165">E181+J181</f>
        <v>5340505.96</v>
      </c>
      <c r="Q181" s="146" t="b">
        <f>P181=P183+P186+P182+P185+P184</f>
        <v>1</v>
      </c>
      <c r="R181" s="147" t="b">
        <f>J181='d7'!F18</f>
        <v>1</v>
      </c>
    </row>
    <row r="182" spans="1:18" ht="228.75" x14ac:dyDescent="0.2">
      <c r="A182" s="282" t="s">
        <v>718</v>
      </c>
      <c r="B182" s="282" t="s">
        <v>335</v>
      </c>
      <c r="C182" s="282" t="s">
        <v>333</v>
      </c>
      <c r="D182" s="313" t="s">
        <v>334</v>
      </c>
      <c r="E182" s="312">
        <f>F182</f>
        <v>4349600</v>
      </c>
      <c r="F182" s="311">
        <f>((4223100)+35000)+91500</f>
        <v>4349600</v>
      </c>
      <c r="G182" s="311">
        <f>(3166500)+136500</f>
        <v>3303000</v>
      </c>
      <c r="H182" s="311">
        <f>(119916)-45000</f>
        <v>74916</v>
      </c>
      <c r="I182" s="311"/>
      <c r="J182" s="338">
        <f t="shared" si="164"/>
        <v>0</v>
      </c>
      <c r="K182" s="311"/>
      <c r="L182" s="311"/>
      <c r="M182" s="311"/>
      <c r="N182" s="311"/>
      <c r="O182" s="266">
        <f>K182</f>
        <v>0</v>
      </c>
      <c r="P182" s="338">
        <f t="shared" si="165"/>
        <v>4349600</v>
      </c>
      <c r="Q182" s="146"/>
      <c r="R182" s="147"/>
    </row>
    <row r="183" spans="1:18" ht="91.5" x14ac:dyDescent="0.2">
      <c r="A183" s="282" t="s">
        <v>457</v>
      </c>
      <c r="B183" s="370" t="s">
        <v>458</v>
      </c>
      <c r="C183" s="370" t="s">
        <v>81</v>
      </c>
      <c r="D183" s="370" t="s">
        <v>82</v>
      </c>
      <c r="E183" s="312">
        <f t="shared" ref="E183:E185" si="166">F183</f>
        <v>0</v>
      </c>
      <c r="F183" s="311"/>
      <c r="G183" s="311"/>
      <c r="H183" s="311"/>
      <c r="I183" s="311"/>
      <c r="J183" s="338">
        <f t="shared" si="164"/>
        <v>718616</v>
      </c>
      <c r="K183" s="311"/>
      <c r="L183" s="311">
        <f>((116000)+90000+46216)-116000</f>
        <v>136216</v>
      </c>
      <c r="M183" s="311"/>
      <c r="N183" s="311"/>
      <c r="O183" s="266">
        <f>(K183+284000)+344616-130000+130000-46216</f>
        <v>582400</v>
      </c>
      <c r="P183" s="338">
        <f t="shared" si="165"/>
        <v>718616</v>
      </c>
    </row>
    <row r="184" spans="1:18" s="368" customFormat="1" ht="70.5" customHeight="1" x14ac:dyDescent="0.2">
      <c r="A184" s="382" t="s">
        <v>994</v>
      </c>
      <c r="B184" s="382" t="s">
        <v>995</v>
      </c>
      <c r="C184" s="383" t="s">
        <v>996</v>
      </c>
      <c r="D184" s="370" t="s">
        <v>998</v>
      </c>
      <c r="E184" s="369">
        <f t="shared" ref="E184" si="167">F184</f>
        <v>0</v>
      </c>
      <c r="F184" s="311"/>
      <c r="G184" s="311"/>
      <c r="H184" s="311"/>
      <c r="I184" s="311"/>
      <c r="J184" s="369">
        <f t="shared" si="164"/>
        <v>136800</v>
      </c>
      <c r="K184" s="311"/>
      <c r="L184" s="311"/>
      <c r="M184" s="311"/>
      <c r="N184" s="311"/>
      <c r="O184" s="266">
        <f>K184+136800</f>
        <v>136800</v>
      </c>
      <c r="P184" s="369">
        <f t="shared" si="165"/>
        <v>136800</v>
      </c>
    </row>
    <row r="185" spans="1:18" ht="91.5" x14ac:dyDescent="0.2">
      <c r="A185" s="282" t="s">
        <v>794</v>
      </c>
      <c r="B185" s="282" t="s">
        <v>795</v>
      </c>
      <c r="C185" s="282" t="s">
        <v>817</v>
      </c>
      <c r="D185" s="313" t="s">
        <v>816</v>
      </c>
      <c r="E185" s="312">
        <f t="shared" si="166"/>
        <v>0</v>
      </c>
      <c r="F185" s="311"/>
      <c r="G185" s="311"/>
      <c r="H185" s="311"/>
      <c r="I185" s="311"/>
      <c r="J185" s="338">
        <f t="shared" si="164"/>
        <v>56289.96</v>
      </c>
      <c r="K185" s="311"/>
      <c r="L185" s="311">
        <v>56289.96</v>
      </c>
      <c r="M185" s="311"/>
      <c r="N185" s="311"/>
      <c r="O185" s="266">
        <f>K185</f>
        <v>0</v>
      </c>
      <c r="P185" s="338">
        <f t="shared" si="165"/>
        <v>56289.96</v>
      </c>
    </row>
    <row r="186" spans="1:18" ht="91.5" x14ac:dyDescent="0.2">
      <c r="A186" s="282" t="s">
        <v>459</v>
      </c>
      <c r="B186" s="282" t="s">
        <v>460</v>
      </c>
      <c r="C186" s="282" t="s">
        <v>83</v>
      </c>
      <c r="D186" s="313" t="s">
        <v>461</v>
      </c>
      <c r="E186" s="312">
        <v>0</v>
      </c>
      <c r="F186" s="311"/>
      <c r="G186" s="311"/>
      <c r="H186" s="311"/>
      <c r="I186" s="311"/>
      <c r="J186" s="338">
        <f t="shared" si="164"/>
        <v>79200</v>
      </c>
      <c r="K186" s="338"/>
      <c r="L186" s="311">
        <f>(100000)-20800</f>
        <v>79200</v>
      </c>
      <c r="M186" s="311"/>
      <c r="N186" s="311"/>
      <c r="O186" s="266">
        <f>K186</f>
        <v>0</v>
      </c>
      <c r="P186" s="338">
        <f t="shared" si="165"/>
        <v>79200</v>
      </c>
    </row>
    <row r="187" spans="1:18" ht="225" x14ac:dyDescent="0.2">
      <c r="A187" s="327" t="s">
        <v>242</v>
      </c>
      <c r="B187" s="327"/>
      <c r="C187" s="327"/>
      <c r="D187" s="328" t="s">
        <v>565</v>
      </c>
      <c r="E187" s="329">
        <f>E188</f>
        <v>2847600</v>
      </c>
      <c r="F187" s="329">
        <f t="shared" ref="F187" si="168">F188</f>
        <v>2847600</v>
      </c>
      <c r="G187" s="329">
        <f t="shared" ref="G187" si="169">G188</f>
        <v>2033400</v>
      </c>
      <c r="H187" s="329">
        <f>H188</f>
        <v>60000</v>
      </c>
      <c r="I187" s="329">
        <f t="shared" ref="I187" si="170">I188</f>
        <v>0</v>
      </c>
      <c r="J187" s="329">
        <f>J188</f>
        <v>326000</v>
      </c>
      <c r="K187" s="329">
        <f>K188</f>
        <v>326000</v>
      </c>
      <c r="L187" s="329">
        <f>L188</f>
        <v>0</v>
      </c>
      <c r="M187" s="329">
        <f t="shared" ref="M187" si="171">M188</f>
        <v>0</v>
      </c>
      <c r="N187" s="329">
        <f>N188</f>
        <v>0</v>
      </c>
      <c r="O187" s="329">
        <f>O188</f>
        <v>326000</v>
      </c>
      <c r="P187" s="329">
        <f t="shared" ref="P187" si="172">P188</f>
        <v>3173600</v>
      </c>
    </row>
    <row r="188" spans="1:18" ht="270" x14ac:dyDescent="0.2">
      <c r="A188" s="324" t="s">
        <v>243</v>
      </c>
      <c r="B188" s="324"/>
      <c r="C188" s="324"/>
      <c r="D188" s="325" t="s">
        <v>566</v>
      </c>
      <c r="E188" s="326">
        <f>SUM(E189:E191)</f>
        <v>2847600</v>
      </c>
      <c r="F188" s="326">
        <f t="shared" ref="F188:N188" si="173">SUM(F189:F191)</f>
        <v>2847600</v>
      </c>
      <c r="G188" s="326">
        <f t="shared" si="173"/>
        <v>2033400</v>
      </c>
      <c r="H188" s="326">
        <f t="shared" si="173"/>
        <v>60000</v>
      </c>
      <c r="I188" s="326">
        <f t="shared" si="173"/>
        <v>0</v>
      </c>
      <c r="J188" s="326">
        <f>L188+O188</f>
        <v>326000</v>
      </c>
      <c r="K188" s="326">
        <f t="shared" si="173"/>
        <v>326000</v>
      </c>
      <c r="L188" s="326">
        <f t="shared" si="173"/>
        <v>0</v>
      </c>
      <c r="M188" s="326">
        <f t="shared" si="173"/>
        <v>0</v>
      </c>
      <c r="N188" s="326">
        <f t="shared" si="173"/>
        <v>0</v>
      </c>
      <c r="O188" s="326">
        <f>SUM(O189:O191)</f>
        <v>326000</v>
      </c>
      <c r="P188" s="326">
        <f>E188+J188</f>
        <v>3173600</v>
      </c>
      <c r="Q188" s="146" t="b">
        <f>P188=P190+P191+P189</f>
        <v>1</v>
      </c>
      <c r="R188" s="147" t="b">
        <f>K188='d5'!I193</f>
        <v>1</v>
      </c>
    </row>
    <row r="189" spans="1:18" ht="228.75" x14ac:dyDescent="0.2">
      <c r="A189" s="282" t="s">
        <v>714</v>
      </c>
      <c r="B189" s="282" t="s">
        <v>335</v>
      </c>
      <c r="C189" s="282" t="s">
        <v>333</v>
      </c>
      <c r="D189" s="282" t="s">
        <v>334</v>
      </c>
      <c r="E189" s="312">
        <f>F189</f>
        <v>2847600</v>
      </c>
      <c r="F189" s="311">
        <f>((3469300)+55000)-676700</f>
        <v>2847600</v>
      </c>
      <c r="G189" s="311">
        <f>(2641000)-607600</f>
        <v>2033400</v>
      </c>
      <c r="H189" s="311">
        <v>60000</v>
      </c>
      <c r="I189" s="311"/>
      <c r="J189" s="338">
        <f>L189+O189</f>
        <v>0</v>
      </c>
      <c r="K189" s="311"/>
      <c r="L189" s="311"/>
      <c r="M189" s="311"/>
      <c r="N189" s="311"/>
      <c r="O189" s="266">
        <f>K189</f>
        <v>0</v>
      </c>
      <c r="P189" s="338">
        <f>E189+J189</f>
        <v>2847600</v>
      </c>
      <c r="Q189" s="146"/>
      <c r="R189" s="147"/>
    </row>
    <row r="190" spans="1:18" ht="91.5" x14ac:dyDescent="0.2">
      <c r="A190" s="282" t="s">
        <v>451</v>
      </c>
      <c r="B190" s="282" t="s">
        <v>452</v>
      </c>
      <c r="C190" s="282" t="s">
        <v>453</v>
      </c>
      <c r="D190" s="282" t="s">
        <v>450</v>
      </c>
      <c r="E190" s="312">
        <f>F190</f>
        <v>0</v>
      </c>
      <c r="F190" s="311">
        <v>0</v>
      </c>
      <c r="G190" s="311"/>
      <c r="H190" s="311"/>
      <c r="I190" s="311"/>
      <c r="J190" s="338">
        <f>L190+O190</f>
        <v>236000</v>
      </c>
      <c r="K190" s="311">
        <f>410000-174000</f>
        <v>236000</v>
      </c>
      <c r="L190" s="311"/>
      <c r="M190" s="311"/>
      <c r="N190" s="311"/>
      <c r="O190" s="266">
        <f>K190</f>
        <v>236000</v>
      </c>
      <c r="P190" s="338">
        <f>E190+J190</f>
        <v>236000</v>
      </c>
      <c r="Q190" s="346" t="s">
        <v>982</v>
      </c>
    </row>
    <row r="191" spans="1:18" ht="137.25" x14ac:dyDescent="0.2">
      <c r="A191" s="282" t="s">
        <v>595</v>
      </c>
      <c r="B191" s="282" t="s">
        <v>596</v>
      </c>
      <c r="C191" s="282" t="s">
        <v>250</v>
      </c>
      <c r="D191" s="282" t="s">
        <v>597</v>
      </c>
      <c r="E191" s="312">
        <f>F191</f>
        <v>0</v>
      </c>
      <c r="F191" s="311">
        <v>0</v>
      </c>
      <c r="G191" s="311"/>
      <c r="H191" s="311"/>
      <c r="I191" s="311"/>
      <c r="J191" s="338">
        <f>L191+O191</f>
        <v>90000</v>
      </c>
      <c r="K191" s="311">
        <v>90000</v>
      </c>
      <c r="L191" s="311"/>
      <c r="M191" s="311"/>
      <c r="N191" s="311"/>
      <c r="O191" s="266">
        <f>K191</f>
        <v>90000</v>
      </c>
      <c r="P191" s="338">
        <f>E191+J191</f>
        <v>90000</v>
      </c>
      <c r="Q191" s="346" t="s">
        <v>982</v>
      </c>
    </row>
    <row r="192" spans="1:18" ht="135" x14ac:dyDescent="0.2">
      <c r="A192" s="327" t="s">
        <v>248</v>
      </c>
      <c r="B192" s="327"/>
      <c r="C192" s="327"/>
      <c r="D192" s="328" t="s">
        <v>48</v>
      </c>
      <c r="E192" s="329">
        <f>E193</f>
        <v>61508353</v>
      </c>
      <c r="F192" s="329">
        <f t="shared" ref="F192" si="174">F193</f>
        <v>61508353</v>
      </c>
      <c r="G192" s="329">
        <f t="shared" ref="G192" si="175">G193</f>
        <v>4759100</v>
      </c>
      <c r="H192" s="329">
        <f>H193</f>
        <v>112897</v>
      </c>
      <c r="I192" s="329">
        <f t="shared" ref="I192" si="176">I193</f>
        <v>0</v>
      </c>
      <c r="J192" s="329">
        <f>J193</f>
        <v>62500</v>
      </c>
      <c r="K192" s="329">
        <f>K193</f>
        <v>62500</v>
      </c>
      <c r="L192" s="329">
        <f>L193</f>
        <v>0</v>
      </c>
      <c r="M192" s="329">
        <f t="shared" ref="M192" si="177">M193</f>
        <v>0</v>
      </c>
      <c r="N192" s="329">
        <f>N193</f>
        <v>0</v>
      </c>
      <c r="O192" s="329">
        <f>O193</f>
        <v>62500</v>
      </c>
      <c r="P192" s="329">
        <f t="shared" ref="P192" si="178">P193</f>
        <v>61570853</v>
      </c>
    </row>
    <row r="193" spans="1:19" ht="135" x14ac:dyDescent="0.2">
      <c r="A193" s="324" t="s">
        <v>249</v>
      </c>
      <c r="B193" s="324"/>
      <c r="C193" s="324"/>
      <c r="D193" s="325" t="s">
        <v>66</v>
      </c>
      <c r="E193" s="326">
        <f>SUM(E194:E197)</f>
        <v>61508353</v>
      </c>
      <c r="F193" s="326">
        <f t="shared" ref="F193:N193" si="179">SUM(F194:F197)</f>
        <v>61508353</v>
      </c>
      <c r="G193" s="326">
        <f t="shared" si="179"/>
        <v>4759100</v>
      </c>
      <c r="H193" s="326">
        <f t="shared" si="179"/>
        <v>112897</v>
      </c>
      <c r="I193" s="326">
        <f t="shared" si="179"/>
        <v>0</v>
      </c>
      <c r="J193" s="326">
        <f>L193+O193</f>
        <v>62500</v>
      </c>
      <c r="K193" s="326">
        <f>SUM(K194:K197)</f>
        <v>62500</v>
      </c>
      <c r="L193" s="326">
        <f t="shared" si="179"/>
        <v>0</v>
      </c>
      <c r="M193" s="326">
        <f t="shared" si="179"/>
        <v>0</v>
      </c>
      <c r="N193" s="326">
        <f t="shared" si="179"/>
        <v>0</v>
      </c>
      <c r="O193" s="326">
        <f>SUM(O194:O197)</f>
        <v>62500</v>
      </c>
      <c r="P193" s="326">
        <f>E193+J193</f>
        <v>61570853</v>
      </c>
      <c r="Q193" s="146" t="b">
        <f>P193=P195+P196+P197+P194</f>
        <v>1</v>
      </c>
      <c r="R193" s="147" t="b">
        <f>K193='d5'!I201</f>
        <v>1</v>
      </c>
    </row>
    <row r="194" spans="1:19" ht="228.75" x14ac:dyDescent="0.2">
      <c r="A194" s="295" t="s">
        <v>716</v>
      </c>
      <c r="B194" s="295" t="s">
        <v>335</v>
      </c>
      <c r="C194" s="295" t="s">
        <v>333</v>
      </c>
      <c r="D194" s="295" t="s">
        <v>334</v>
      </c>
      <c r="E194" s="312">
        <f>F194</f>
        <v>6249335</v>
      </c>
      <c r="F194" s="311">
        <f>(((6887800)+40000)-95000+20000+535)-604000</f>
        <v>6249335</v>
      </c>
      <c r="G194" s="311">
        <f>((5254100)-95000)-400000</f>
        <v>4759100</v>
      </c>
      <c r="H194" s="311">
        <f>((142362)+535)-6000-24000</f>
        <v>112897</v>
      </c>
      <c r="I194" s="311"/>
      <c r="J194" s="338">
        <f>L194+O194</f>
        <v>62500</v>
      </c>
      <c r="K194" s="311">
        <f>(50000)+12500</f>
        <v>62500</v>
      </c>
      <c r="L194" s="311"/>
      <c r="M194" s="311"/>
      <c r="N194" s="311"/>
      <c r="O194" s="266">
        <f>K194</f>
        <v>62500</v>
      </c>
      <c r="P194" s="338">
        <f>E194+J194</f>
        <v>6311835</v>
      </c>
      <c r="Q194" s="146"/>
      <c r="R194" s="147"/>
    </row>
    <row r="195" spans="1:19" ht="46.5" x14ac:dyDescent="0.2">
      <c r="A195" s="250">
        <v>3718600</v>
      </c>
      <c r="B195" s="250">
        <v>8600</v>
      </c>
      <c r="C195" s="295" t="s">
        <v>575</v>
      </c>
      <c r="D195" s="250" t="s">
        <v>576</v>
      </c>
      <c r="E195" s="312">
        <f>F195</f>
        <v>220200</v>
      </c>
      <c r="F195" s="311">
        <f>1282700-1062500</f>
        <v>220200</v>
      </c>
      <c r="G195" s="311"/>
      <c r="H195" s="311"/>
      <c r="I195" s="311"/>
      <c r="J195" s="338">
        <f>L195+O195</f>
        <v>0</v>
      </c>
      <c r="K195" s="311"/>
      <c r="L195" s="311"/>
      <c r="M195" s="311"/>
      <c r="N195" s="311"/>
      <c r="O195" s="266">
        <f>K195</f>
        <v>0</v>
      </c>
      <c r="P195" s="338">
        <f>E195+J195</f>
        <v>220200</v>
      </c>
    </row>
    <row r="196" spans="1:19" ht="69" customHeight="1" x14ac:dyDescent="0.2">
      <c r="A196" s="250">
        <v>3718700</v>
      </c>
      <c r="B196" s="250">
        <v>8700</v>
      </c>
      <c r="C196" s="295" t="s">
        <v>70</v>
      </c>
      <c r="D196" s="269" t="s">
        <v>68</v>
      </c>
      <c r="E196" s="312">
        <f>F196</f>
        <v>652818</v>
      </c>
      <c r="F196" s="311">
        <f>(((5000000-655000)-3000000+1000000-800000-576000)-300000)+500000-134495-6687+500000-500000-375000</f>
        <v>652818</v>
      </c>
      <c r="G196" s="311"/>
      <c r="H196" s="311"/>
      <c r="I196" s="311"/>
      <c r="J196" s="338">
        <f>L196+O196</f>
        <v>0</v>
      </c>
      <c r="K196" s="311"/>
      <c r="L196" s="311"/>
      <c r="M196" s="311"/>
      <c r="N196" s="311"/>
      <c r="O196" s="266">
        <f>K196</f>
        <v>0</v>
      </c>
      <c r="P196" s="338">
        <f>E196+J196</f>
        <v>652818</v>
      </c>
    </row>
    <row r="197" spans="1:19" ht="65.25" customHeight="1" x14ac:dyDescent="0.2">
      <c r="A197" s="250">
        <v>3719110</v>
      </c>
      <c r="B197" s="250">
        <v>9110</v>
      </c>
      <c r="C197" s="295" t="s">
        <v>71</v>
      </c>
      <c r="D197" s="269" t="s">
        <v>69</v>
      </c>
      <c r="E197" s="312">
        <f>F197</f>
        <v>54386000</v>
      </c>
      <c r="F197" s="311">
        <v>54386000</v>
      </c>
      <c r="G197" s="311"/>
      <c r="H197" s="311"/>
      <c r="I197" s="311"/>
      <c r="J197" s="338">
        <f>L197+O197</f>
        <v>0</v>
      </c>
      <c r="K197" s="311"/>
      <c r="L197" s="311"/>
      <c r="M197" s="311"/>
      <c r="N197" s="311"/>
      <c r="O197" s="266">
        <f>K197</f>
        <v>0</v>
      </c>
      <c r="P197" s="338">
        <f>E197+J197</f>
        <v>54386000</v>
      </c>
    </row>
    <row r="198" spans="1:19" ht="111.75" customHeight="1" x14ac:dyDescent="0.55000000000000004">
      <c r="A198" s="330" t="s">
        <v>633</v>
      </c>
      <c r="B198" s="330" t="s">
        <v>633</v>
      </c>
      <c r="C198" s="330" t="s">
        <v>633</v>
      </c>
      <c r="D198" s="331" t="s">
        <v>649</v>
      </c>
      <c r="E198" s="332">
        <f>E14+E26+E122+E40+E54+E112+E138+E160+E169+E193+E174+E181+E188</f>
        <v>2677770792.2600002</v>
      </c>
      <c r="F198" s="332">
        <f>F14+F26+F122+F40+F53+F112+F138+F160+F169+F193+F174+F181+F188</f>
        <v>2677770792.2600002</v>
      </c>
      <c r="G198" s="332">
        <f t="shared" ref="G198:O198" si="180">G14+G26+G122+G40+G54+G112+G138+G160+G169+G193+G174+G181+G188</f>
        <v>871607182.39999998</v>
      </c>
      <c r="H198" s="332">
        <f>H14+H26+H122+H40+H54+H112+H138+H160+H169+H193+H174+H181+H188</f>
        <v>90895791</v>
      </c>
      <c r="I198" s="332">
        <f t="shared" si="180"/>
        <v>0</v>
      </c>
      <c r="J198" s="332">
        <f t="shared" si="180"/>
        <v>599027887.5</v>
      </c>
      <c r="K198" s="332">
        <f t="shared" si="180"/>
        <v>472178063.34999996</v>
      </c>
      <c r="L198" s="332">
        <f t="shared" si="180"/>
        <v>124116036.53</v>
      </c>
      <c r="M198" s="332">
        <f t="shared" si="180"/>
        <v>34317186</v>
      </c>
      <c r="N198" s="332">
        <f t="shared" si="180"/>
        <v>9158831.4000000004</v>
      </c>
      <c r="O198" s="332">
        <f t="shared" si="180"/>
        <v>474911850.96999997</v>
      </c>
      <c r="P198" s="332">
        <f>P14+P26+P122+P40+P53+P112+P138+P160+P169+P193+P174+P181+P188</f>
        <v>3276798679.7600002</v>
      </c>
      <c r="Q198" s="14" t="b">
        <f>K198='d5'!I204</f>
        <v>1</v>
      </c>
    </row>
    <row r="199" spans="1:19" ht="45.75" x14ac:dyDescent="0.2">
      <c r="A199" s="510" t="s">
        <v>448</v>
      </c>
      <c r="B199" s="511"/>
      <c r="C199" s="511"/>
      <c r="D199" s="511"/>
      <c r="E199" s="511"/>
      <c r="F199" s="511"/>
      <c r="G199" s="511"/>
      <c r="H199" s="511"/>
      <c r="I199" s="511"/>
      <c r="J199" s="511"/>
      <c r="K199" s="511"/>
      <c r="L199" s="511"/>
      <c r="M199" s="511"/>
      <c r="N199" s="511"/>
      <c r="O199" s="511"/>
      <c r="P199" s="511"/>
      <c r="Q199" s="12"/>
    </row>
    <row r="200" spans="1:19" ht="45.75" hidden="1" x14ac:dyDescent="0.2">
      <c r="A200" s="116"/>
      <c r="B200" s="117"/>
      <c r="C200" s="117"/>
      <c r="D200" s="117"/>
      <c r="E200" s="200">
        <f>F200</f>
        <v>2677770792.2600002</v>
      </c>
      <c r="F200" s="200">
        <f>2671792699.26+5978093</f>
        <v>2677770792.2600002</v>
      </c>
      <c r="G200" s="200">
        <f>866701198.4+1245600+2886700-60000-14600+92862-95878+1301300-450000</f>
        <v>871607182.39999998</v>
      </c>
      <c r="H200" s="200">
        <f>(97100214-158830-15300+441-29533-5412935-459960)-128306</f>
        <v>90895791</v>
      </c>
      <c r="I200" s="200">
        <v>0</v>
      </c>
      <c r="J200" s="200">
        <f>602869614.5-3841727</f>
        <v>599027887.5</v>
      </c>
      <c r="K200" s="200">
        <f>476019790.35-3841727</f>
        <v>472178063.35000002</v>
      </c>
      <c r="L200" s="200">
        <f>124252836.53-136800</f>
        <v>124116036.53</v>
      </c>
      <c r="M200" s="200">
        <v>34317186</v>
      </c>
      <c r="N200" s="200">
        <v>9158831.4000000004</v>
      </c>
      <c r="O200" s="200">
        <f>478616777.97-3841727+136800</f>
        <v>474911850.97000003</v>
      </c>
      <c r="P200" s="200">
        <f>E200+J200</f>
        <v>3276798679.7600002</v>
      </c>
      <c r="Q200" s="12"/>
      <c r="R200" s="12"/>
    </row>
    <row r="201" spans="1:19" ht="45.75" x14ac:dyDescent="0.2">
      <c r="A201" s="116"/>
      <c r="B201" s="117"/>
      <c r="C201" s="117"/>
      <c r="D201" s="117"/>
      <c r="E201" s="117"/>
      <c r="F201" s="117"/>
      <c r="G201" s="117"/>
      <c r="H201" s="117"/>
      <c r="I201" s="117"/>
      <c r="J201" s="117"/>
      <c r="K201" s="117"/>
      <c r="L201" s="117"/>
      <c r="M201" s="117"/>
      <c r="N201" s="117"/>
      <c r="O201" s="117"/>
      <c r="P201" s="117"/>
      <c r="Q201" s="12"/>
    </row>
    <row r="202" spans="1:19" ht="45.75" x14ac:dyDescent="0.65">
      <c r="A202" s="7"/>
      <c r="B202" s="7"/>
      <c r="C202" s="7"/>
      <c r="D202" s="509" t="s">
        <v>1005</v>
      </c>
      <c r="E202" s="509"/>
      <c r="F202" s="509"/>
      <c r="G202" s="509"/>
      <c r="H202" s="509"/>
      <c r="I202" s="509"/>
      <c r="J202" s="509"/>
      <c r="K202" s="509"/>
      <c r="L202" s="509"/>
      <c r="M202" s="509"/>
      <c r="N202" s="509"/>
      <c r="O202" s="509"/>
      <c r="P202" s="509"/>
      <c r="Q202" s="13"/>
      <c r="S202" t="s">
        <v>1002</v>
      </c>
    </row>
    <row r="203" spans="1:19" ht="45.75" x14ac:dyDescent="0.2">
      <c r="E203" s="24"/>
      <c r="F203" s="3"/>
      <c r="J203" s="197"/>
      <c r="K203" s="197"/>
      <c r="O203" s="128"/>
      <c r="P203" s="19"/>
    </row>
    <row r="204" spans="1:19" ht="45.75" x14ac:dyDescent="0.65">
      <c r="D204" s="509"/>
      <c r="E204" s="509"/>
      <c r="F204" s="509"/>
      <c r="G204" s="509"/>
      <c r="H204" s="509"/>
      <c r="I204" s="509"/>
      <c r="J204" s="509"/>
      <c r="K204" s="509"/>
      <c r="L204" s="509"/>
      <c r="M204" s="509"/>
      <c r="N204" s="509"/>
      <c r="O204" s="509"/>
      <c r="P204" s="509"/>
      <c r="Q204" s="14"/>
    </row>
    <row r="205" spans="1:19" x14ac:dyDescent="0.2">
      <c r="E205" s="4"/>
      <c r="F205" s="3"/>
      <c r="J205" s="4"/>
      <c r="K205" s="4"/>
    </row>
    <row r="206" spans="1:19" x14ac:dyDescent="0.2">
      <c r="E206" s="4"/>
      <c r="F206" s="3"/>
      <c r="J206" s="4"/>
      <c r="K206" s="4"/>
    </row>
    <row r="207" spans="1:19" ht="60.75" x14ac:dyDescent="0.2">
      <c r="E207" s="114" t="b">
        <f t="shared" ref="E207:K207" si="181">E200=E198</f>
        <v>1</v>
      </c>
      <c r="F207" s="114" t="b">
        <f t="shared" si="181"/>
        <v>1</v>
      </c>
      <c r="G207" s="114" t="b">
        <f t="shared" si="181"/>
        <v>1</v>
      </c>
      <c r="H207" s="114" t="b">
        <f t="shared" si="181"/>
        <v>1</v>
      </c>
      <c r="I207" s="114" t="b">
        <f t="shared" si="181"/>
        <v>1</v>
      </c>
      <c r="J207" s="114" t="b">
        <f t="shared" si="181"/>
        <v>1</v>
      </c>
      <c r="K207" s="114" t="b">
        <f t="shared" si="181"/>
        <v>1</v>
      </c>
      <c r="L207" s="114" t="b">
        <f t="shared" ref="L207:N207" si="182">L200=L198</f>
        <v>1</v>
      </c>
      <c r="M207" s="114" t="b">
        <f t="shared" si="182"/>
        <v>1</v>
      </c>
      <c r="N207" s="114" t="b">
        <f t="shared" si="182"/>
        <v>1</v>
      </c>
      <c r="O207" s="114" t="b">
        <f>O200=O198</f>
        <v>1</v>
      </c>
      <c r="P207" s="114" t="b">
        <f>P200=P198</f>
        <v>1</v>
      </c>
    </row>
    <row r="208" spans="1:19" ht="60.75" x14ac:dyDescent="0.2">
      <c r="E208" s="114" t="b">
        <f>E198=F198</f>
        <v>1</v>
      </c>
      <c r="F208" s="244">
        <f>F196/E198*100</f>
        <v>2.43791590335867E-2</v>
      </c>
      <c r="G208" s="128" t="s">
        <v>485</v>
      </c>
      <c r="I208" s="111"/>
      <c r="J208" s="114" t="b">
        <f>J200=L200+O200</f>
        <v>1</v>
      </c>
      <c r="K208" s="198"/>
      <c r="L208" s="114"/>
      <c r="M208" s="111"/>
      <c r="N208" s="111"/>
      <c r="O208" s="114"/>
      <c r="P208" s="114" t="b">
        <f>E198+J198=P198</f>
        <v>1</v>
      </c>
    </row>
    <row r="209" spans="1:18" x14ac:dyDescent="0.2">
      <c r="E209" s="6"/>
      <c r="F209" s="176"/>
      <c r="G209" s="6"/>
      <c r="H209" s="6"/>
      <c r="I209" s="6"/>
      <c r="J209" s="4"/>
      <c r="K209" s="4"/>
    </row>
    <row r="210" spans="1:18" ht="45.75" x14ac:dyDescent="0.2">
      <c r="A210"/>
      <c r="B210"/>
      <c r="C210"/>
      <c r="D210" s="10"/>
      <c r="F210" s="128">
        <f>F196/P198*100</f>
        <v>1.99224323432593E-2</v>
      </c>
      <c r="G210" s="128" t="s">
        <v>485</v>
      </c>
      <c r="I210" s="10"/>
      <c r="J210" s="145"/>
      <c r="K210" s="145"/>
      <c r="L210"/>
      <c r="M210"/>
      <c r="N210"/>
      <c r="O210" s="145"/>
      <c r="P210"/>
    </row>
    <row r="211" spans="1:18" ht="60.75" x14ac:dyDescent="0.2">
      <c r="D211" s="10"/>
      <c r="E211" s="145"/>
      <c r="F211" s="243"/>
      <c r="G211" s="23"/>
      <c r="I211" s="10"/>
      <c r="J211" s="145"/>
      <c r="K211" s="145"/>
      <c r="O211" s="145"/>
      <c r="P211" s="114"/>
      <c r="Q211" s="115"/>
      <c r="R211" s="114"/>
    </row>
    <row r="212" spans="1:18" ht="60.75" x14ac:dyDescent="0.2">
      <c r="A212"/>
      <c r="B212"/>
      <c r="C212"/>
      <c r="D212" s="10"/>
      <c r="E212" s="145"/>
      <c r="F212" s="128"/>
      <c r="G212" s="3"/>
      <c r="I212" s="10"/>
      <c r="J212" s="145"/>
      <c r="K212" s="145"/>
      <c r="L212"/>
      <c r="M212"/>
      <c r="N212"/>
      <c r="O212" s="145"/>
      <c r="P212" s="114"/>
      <c r="Q212" s="115"/>
      <c r="R212" s="114"/>
    </row>
    <row r="213" spans="1:18" ht="60.75" x14ac:dyDescent="0.2">
      <c r="D213" s="10"/>
      <c r="E213" s="145"/>
      <c r="F213" s="177"/>
      <c r="O213" s="114"/>
      <c r="P213" s="114"/>
    </row>
    <row r="214" spans="1:18" ht="60.75" x14ac:dyDescent="0.2">
      <c r="A214"/>
      <c r="B214"/>
      <c r="C214"/>
      <c r="D214" s="10"/>
      <c r="E214" s="145"/>
      <c r="F214" s="128"/>
      <c r="G214" s="3"/>
      <c r="J214" s="4"/>
      <c r="K214" s="4"/>
      <c r="L214"/>
      <c r="M214"/>
      <c r="N214"/>
      <c r="O214"/>
      <c r="P214" s="114"/>
    </row>
    <row r="215" spans="1:18" ht="62.25" x14ac:dyDescent="0.8">
      <c r="A215"/>
      <c r="B215"/>
      <c r="C215"/>
      <c r="D215"/>
      <c r="E215" s="21"/>
      <c r="F215" s="128"/>
      <c r="J215" s="4"/>
      <c r="K215" s="4"/>
      <c r="L215"/>
      <c r="M215"/>
      <c r="N215"/>
      <c r="O215"/>
      <c r="P215" s="151"/>
    </row>
    <row r="216" spans="1:18" ht="45.75" x14ac:dyDescent="0.2">
      <c r="E216" s="22"/>
      <c r="F216" s="177"/>
    </row>
    <row r="217" spans="1:18" ht="45.75" x14ac:dyDescent="0.2">
      <c r="A217"/>
      <c r="B217"/>
      <c r="C217"/>
      <c r="D217"/>
      <c r="E217" s="21"/>
      <c r="F217" s="128"/>
      <c r="L217"/>
      <c r="M217"/>
      <c r="N217"/>
      <c r="O217"/>
      <c r="P217"/>
    </row>
    <row r="218" spans="1:18" ht="45.75" x14ac:dyDescent="0.2">
      <c r="E218" s="22"/>
      <c r="F218" s="177"/>
    </row>
    <row r="219" spans="1:18" ht="45.75" x14ac:dyDescent="0.2">
      <c r="E219" s="22"/>
      <c r="F219" s="177"/>
    </row>
    <row r="220" spans="1:18" ht="45.75" x14ac:dyDescent="0.2">
      <c r="E220" s="22"/>
      <c r="F220" s="177"/>
    </row>
    <row r="221" spans="1:18" ht="45.75" x14ac:dyDescent="0.2">
      <c r="A221"/>
      <c r="B221"/>
      <c r="C221"/>
      <c r="D221"/>
      <c r="E221" s="22"/>
      <c r="F221" s="177"/>
      <c r="G221"/>
      <c r="H221"/>
      <c r="I221"/>
      <c r="J221"/>
      <c r="K221"/>
      <c r="L221"/>
      <c r="M221"/>
      <c r="N221"/>
      <c r="O221"/>
      <c r="P221"/>
    </row>
    <row r="222" spans="1:18" ht="45.75" x14ac:dyDescent="0.2">
      <c r="A222"/>
      <c r="B222"/>
      <c r="C222"/>
      <c r="D222"/>
      <c r="E222" s="22"/>
      <c r="F222" s="177"/>
      <c r="G222"/>
      <c r="H222"/>
      <c r="I222"/>
      <c r="J222"/>
      <c r="K222"/>
      <c r="L222"/>
      <c r="M222"/>
      <c r="N222"/>
      <c r="O222"/>
      <c r="P222"/>
    </row>
    <row r="223" spans="1:18" ht="45.75" x14ac:dyDescent="0.2">
      <c r="A223"/>
      <c r="B223"/>
      <c r="C223"/>
      <c r="D223"/>
      <c r="E223" s="22"/>
      <c r="F223" s="177"/>
      <c r="G223"/>
      <c r="H223"/>
      <c r="I223"/>
      <c r="J223"/>
      <c r="K223"/>
      <c r="L223"/>
      <c r="M223"/>
      <c r="N223"/>
      <c r="O223"/>
      <c r="P223"/>
    </row>
    <row r="224" spans="1:18" ht="45.75" x14ac:dyDescent="0.2">
      <c r="A224"/>
      <c r="B224"/>
      <c r="C224"/>
      <c r="D224"/>
      <c r="E224" s="22"/>
      <c r="F224" s="177"/>
      <c r="G224"/>
      <c r="H224"/>
      <c r="I224"/>
      <c r="J224"/>
      <c r="K224"/>
      <c r="L224"/>
      <c r="M224"/>
      <c r="N224"/>
      <c r="O224"/>
      <c r="P224"/>
    </row>
  </sheetData>
  <mergeCells count="147">
    <mergeCell ref="O156:O157"/>
    <mergeCell ref="F19:F20"/>
    <mergeCell ref="G19:G20"/>
    <mergeCell ref="H19:H20"/>
    <mergeCell ref="D204:P204"/>
    <mergeCell ref="D202:P202"/>
    <mergeCell ref="A199:P199"/>
    <mergeCell ref="E109:E110"/>
    <mergeCell ref="F109:F110"/>
    <mergeCell ref="M109:M110"/>
    <mergeCell ref="N109:N110"/>
    <mergeCell ref="P109:P110"/>
    <mergeCell ref="G109:G110"/>
    <mergeCell ref="O109:O110"/>
    <mergeCell ref="P156:P157"/>
    <mergeCell ref="A156:A157"/>
    <mergeCell ref="B156:B157"/>
    <mergeCell ref="C156:C157"/>
    <mergeCell ref="E156:E157"/>
    <mergeCell ref="F156:F157"/>
    <mergeCell ref="K109:K110"/>
    <mergeCell ref="G156:G157"/>
    <mergeCell ref="H156:H157"/>
    <mergeCell ref="I156:I157"/>
    <mergeCell ref="B19:B20"/>
    <mergeCell ref="C19:C20"/>
    <mergeCell ref="E98:E100"/>
    <mergeCell ref="F98:F100"/>
    <mergeCell ref="E91:E93"/>
    <mergeCell ref="F91:F93"/>
    <mergeCell ref="G91:G93"/>
    <mergeCell ref="H91:H93"/>
    <mergeCell ref="I91:I93"/>
    <mergeCell ref="B79:B80"/>
    <mergeCell ref="C79:C80"/>
    <mergeCell ref="G98:G100"/>
    <mergeCell ref="C94:C97"/>
    <mergeCell ref="E94:E97"/>
    <mergeCell ref="F94:F97"/>
    <mergeCell ref="G94:G97"/>
    <mergeCell ref="E101:E103"/>
    <mergeCell ref="F101:F103"/>
    <mergeCell ref="G101:G103"/>
    <mergeCell ref="H101:H103"/>
    <mergeCell ref="H109:H110"/>
    <mergeCell ref="A98:A100"/>
    <mergeCell ref="E79:E80"/>
    <mergeCell ref="F79:F80"/>
    <mergeCell ref="G79:G80"/>
    <mergeCell ref="H79:H80"/>
    <mergeCell ref="B98:B100"/>
    <mergeCell ref="C98:C100"/>
    <mergeCell ref="C109:C110"/>
    <mergeCell ref="A109:A110"/>
    <mergeCell ref="B91:B93"/>
    <mergeCell ref="C91:C93"/>
    <mergeCell ref="A79:A80"/>
    <mergeCell ref="A91:A93"/>
    <mergeCell ref="A101:A103"/>
    <mergeCell ref="B101:B103"/>
    <mergeCell ref="C101:C103"/>
    <mergeCell ref="B109:B110"/>
    <mergeCell ref="A94:A97"/>
    <mergeCell ref="B94:B97"/>
    <mergeCell ref="R91:R93"/>
    <mergeCell ref="R98:R100"/>
    <mergeCell ref="H98:H100"/>
    <mergeCell ref="I98:I100"/>
    <mergeCell ref="J98:J100"/>
    <mergeCell ref="K98:K100"/>
    <mergeCell ref="L98:L100"/>
    <mergeCell ref="O91:O93"/>
    <mergeCell ref="P91:P93"/>
    <mergeCell ref="N98:N100"/>
    <mergeCell ref="O98:O100"/>
    <mergeCell ref="P98:P100"/>
    <mergeCell ref="H94:H97"/>
    <mergeCell ref="R94:R97"/>
    <mergeCell ref="P19:P20"/>
    <mergeCell ref="M19:M20"/>
    <mergeCell ref="N19:N20"/>
    <mergeCell ref="O79:O80"/>
    <mergeCell ref="P79:P80"/>
    <mergeCell ref="L79:L80"/>
    <mergeCell ref="O19:O20"/>
    <mergeCell ref="N79:N80"/>
    <mergeCell ref="M79:M80"/>
    <mergeCell ref="L19:L20"/>
    <mergeCell ref="J19:J20"/>
    <mergeCell ref="L156:L157"/>
    <mergeCell ref="M156:M157"/>
    <mergeCell ref="I101:I103"/>
    <mergeCell ref="L109:L110"/>
    <mergeCell ref="N156:N157"/>
    <mergeCell ref="J156:J157"/>
    <mergeCell ref="K156:K157"/>
    <mergeCell ref="K79:K80"/>
    <mergeCell ref="J101:J103"/>
    <mergeCell ref="K101:K103"/>
    <mergeCell ref="J91:J93"/>
    <mergeCell ref="I79:I80"/>
    <mergeCell ref="J79:J80"/>
    <mergeCell ref="I19:I20"/>
    <mergeCell ref="N91:N93"/>
    <mergeCell ref="P101:P103"/>
    <mergeCell ref="I109:I110"/>
    <mergeCell ref="J109:J110"/>
    <mergeCell ref="M101:M103"/>
    <mergeCell ref="N101:N103"/>
    <mergeCell ref="L101:L103"/>
    <mergeCell ref="O101:O103"/>
    <mergeCell ref="K91:K93"/>
    <mergeCell ref="L91:L93"/>
    <mergeCell ref="M91:M93"/>
    <mergeCell ref="M98:M100"/>
    <mergeCell ref="I94:I97"/>
    <mergeCell ref="L94:L97"/>
    <mergeCell ref="M94:M97"/>
    <mergeCell ref="N94:N97"/>
    <mergeCell ref="P94:P97"/>
    <mergeCell ref="O94:O97"/>
    <mergeCell ref="K94:K97"/>
    <mergeCell ref="J94:J97"/>
    <mergeCell ref="N2:Q2"/>
    <mergeCell ref="N3:Q3"/>
    <mergeCell ref="O4:P4"/>
    <mergeCell ref="P9:P11"/>
    <mergeCell ref="A6:P6"/>
    <mergeCell ref="E10:E11"/>
    <mergeCell ref="A19:A20"/>
    <mergeCell ref="A9:A11"/>
    <mergeCell ref="A7:P7"/>
    <mergeCell ref="M10:N10"/>
    <mergeCell ref="B9:B11"/>
    <mergeCell ref="C9:C11"/>
    <mergeCell ref="E9:I9"/>
    <mergeCell ref="G10:H10"/>
    <mergeCell ref="F10:F11"/>
    <mergeCell ref="D9:D11"/>
    <mergeCell ref="K19:K20"/>
    <mergeCell ref="K10:K11"/>
    <mergeCell ref="J10:J11"/>
    <mergeCell ref="O10:O11"/>
    <mergeCell ref="I10:I11"/>
    <mergeCell ref="J9:O9"/>
    <mergeCell ref="L10:L11"/>
    <mergeCell ref="E19:E20"/>
  </mergeCells>
  <phoneticPr fontId="0" type="noConversion"/>
  <conditionalFormatting sqref="Q169:R171">
    <cfRule type="iconSet" priority="11">
      <iconSet iconSet="3Arrows">
        <cfvo type="percent" val="0"/>
        <cfvo type="percent" val="33"/>
        <cfvo type="percent" val="67"/>
      </iconSet>
    </cfRule>
  </conditionalFormatting>
  <conditionalFormatting sqref="Q181:R182">
    <cfRule type="iconSet" priority="9">
      <iconSet iconSet="3Arrows">
        <cfvo type="percent" val="0"/>
        <cfvo type="percent" val="33"/>
        <cfvo type="percent" val="67"/>
      </iconSet>
    </cfRule>
  </conditionalFormatting>
  <conditionalFormatting sqref="Q194:R194 Q193">
    <cfRule type="iconSet" priority="7">
      <iconSet iconSet="3Arrows">
        <cfvo type="percent" val="0"/>
        <cfvo type="percent" val="33"/>
        <cfvo type="percent" val="67"/>
      </iconSet>
    </cfRule>
  </conditionalFormatting>
  <conditionalFormatting sqref="Q188:R189">
    <cfRule type="iconSet" priority="6">
      <iconSet iconSet="3Arrows">
        <cfvo type="percent" val="0"/>
        <cfvo type="percent" val="33"/>
        <cfvo type="percent" val="67"/>
      </iconSet>
    </cfRule>
  </conditionalFormatting>
  <conditionalFormatting sqref="R193">
    <cfRule type="iconSet" priority="5">
      <iconSet iconSet="3Arrows">
        <cfvo type="percent" val="0"/>
        <cfvo type="percent" val="33"/>
        <cfvo type="percent" val="67"/>
      </iconSet>
    </cfRule>
  </conditionalFormatting>
  <conditionalFormatting sqref="Q174:R174">
    <cfRule type="iconSet" priority="12">
      <iconSet iconSet="3Arrows">
        <cfvo type="percent" val="0"/>
        <cfvo type="percent" val="33"/>
        <cfvo type="percent" val="67"/>
      </iconSet>
    </cfRule>
  </conditionalFormatting>
  <conditionalFormatting sqref="R175:R179">
    <cfRule type="iconSet" priority="4">
      <iconSet iconSet="3Arrows">
        <cfvo type="percent" val="0"/>
        <cfvo type="percent" val="33"/>
        <cfvo type="percent" val="67"/>
      </iconSet>
    </cfRule>
  </conditionalFormatting>
  <conditionalFormatting sqref="Q172">
    <cfRule type="iconSet" priority="3">
      <iconSet iconSet="3Arrows">
        <cfvo type="percent" val="0"/>
        <cfvo type="percent" val="33"/>
        <cfvo type="percent" val="67"/>
      </iconSet>
    </cfRule>
  </conditionalFormatting>
  <conditionalFormatting sqref="Q190">
    <cfRule type="iconSet" priority="2">
      <iconSet iconSet="3Arrows">
        <cfvo type="percent" val="0"/>
        <cfvo type="percent" val="33"/>
        <cfvo type="percent" val="67"/>
      </iconSet>
    </cfRule>
  </conditionalFormatting>
  <conditionalFormatting sqref="Q191">
    <cfRule type="iconSet" priority="1">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5" fitToHeight="0" orientation="landscape" r:id="rId1"/>
  <headerFooter alignWithMargins="0">
    <oddFooter>&amp;C&amp;"Times New Roman Cyr,курсив"Сторінка &amp;P з &amp;N</oddFooter>
  </headerFooter>
  <rowBreaks count="3" manualBreakCount="3">
    <brk id="28" max="15" man="1"/>
    <brk id="49" max="15" man="1"/>
    <brk id="70"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2:Q158"/>
  <sheetViews>
    <sheetView showGridLines="0" showZeros="0" view="pageBreakPreview" topLeftCell="B10" zoomScale="85" zoomScaleNormal="85" zoomScaleSheetLayoutView="85" workbookViewId="0">
      <selection activeCell="M2" sqref="M2:Q2"/>
    </sheetView>
  </sheetViews>
  <sheetFormatPr defaultColWidth="7.85546875" defaultRowHeight="12.75" x14ac:dyDescent="0.2"/>
  <cols>
    <col min="1" max="1" width="0" style="16" hidden="1" customWidth="1"/>
    <col min="2" max="2" width="13" style="85" customWidth="1"/>
    <col min="3" max="3" width="12.42578125" style="85" customWidth="1"/>
    <col min="4" max="4" width="15.28515625" style="85" customWidth="1"/>
    <col min="5" max="5" width="37" style="85" customWidth="1"/>
    <col min="6" max="6" width="10.5703125" style="85" customWidth="1"/>
    <col min="7" max="7" width="11.85546875" style="85" customWidth="1"/>
    <col min="8" max="8" width="13.28515625" style="85" customWidth="1"/>
    <col min="9" max="9" width="12.5703125" style="85" customWidth="1"/>
    <col min="10" max="10" width="12.140625" style="85" customWidth="1"/>
    <col min="11" max="11" width="18.140625" style="85" customWidth="1"/>
    <col min="12" max="12" width="13.5703125" style="85" customWidth="1"/>
    <col min="13" max="13" width="13" style="85" customWidth="1"/>
    <col min="14" max="14" width="11.42578125" style="85" customWidth="1"/>
    <col min="15" max="15" width="12.7109375" style="85" customWidth="1"/>
    <col min="16" max="16" width="12.5703125" style="85" customWidth="1"/>
    <col min="17" max="17" width="12.7109375" style="85" customWidth="1"/>
    <col min="18" max="16384" width="7.85546875" style="85"/>
  </cols>
  <sheetData>
    <row r="2" spans="1:17" ht="64.5" customHeight="1" x14ac:dyDescent="0.2">
      <c r="B2" s="16"/>
      <c r="C2" s="16"/>
      <c r="D2" s="16"/>
      <c r="M2" s="517" t="s">
        <v>1020</v>
      </c>
      <c r="N2" s="517"/>
      <c r="O2" s="517"/>
      <c r="P2" s="517"/>
      <c r="Q2" s="517"/>
    </row>
    <row r="3" spans="1:17" ht="32.450000000000003" customHeight="1" x14ac:dyDescent="0.2">
      <c r="B3" s="16"/>
      <c r="C3" s="16"/>
      <c r="D3" s="16"/>
      <c r="E3" s="518" t="s">
        <v>643</v>
      </c>
      <c r="F3" s="518"/>
      <c r="G3" s="518"/>
      <c r="H3" s="518"/>
      <c r="I3" s="518"/>
      <c r="J3" s="518"/>
      <c r="K3" s="518"/>
      <c r="L3" s="518"/>
      <c r="M3" s="518"/>
      <c r="N3" s="87"/>
      <c r="O3" s="87"/>
      <c r="P3" s="87"/>
      <c r="Q3" s="87"/>
    </row>
    <row r="4" spans="1:17" ht="12" customHeight="1" x14ac:dyDescent="0.3">
      <c r="B4" s="88"/>
      <c r="C4" s="88"/>
      <c r="D4" s="89"/>
      <c r="E4" s="518"/>
      <c r="F4" s="518"/>
      <c r="G4" s="518"/>
      <c r="H4" s="518"/>
      <c r="I4" s="518"/>
      <c r="J4" s="518"/>
      <c r="K4" s="518"/>
      <c r="L4" s="518"/>
      <c r="M4" s="518"/>
      <c r="N4" s="16"/>
      <c r="O4" s="16"/>
      <c r="P4" s="16"/>
      <c r="Q4" s="90"/>
    </row>
    <row r="5" spans="1:17" ht="21" customHeight="1" x14ac:dyDescent="0.3">
      <c r="B5" s="88"/>
      <c r="C5" s="88"/>
      <c r="D5" s="89"/>
      <c r="E5" s="86"/>
      <c r="F5" s="86"/>
      <c r="G5" s="86"/>
      <c r="H5" s="86"/>
      <c r="I5" s="86"/>
      <c r="J5" s="86"/>
      <c r="K5" s="86"/>
      <c r="L5" s="86"/>
      <c r="M5" s="86"/>
      <c r="N5" s="16"/>
      <c r="O5" s="16"/>
      <c r="P5" s="16"/>
      <c r="Q5" s="178" t="s">
        <v>640</v>
      </c>
    </row>
    <row r="6" spans="1:17" ht="30.75" customHeight="1" x14ac:dyDescent="0.2">
      <c r="A6" s="91"/>
      <c r="B6" s="521" t="s">
        <v>29</v>
      </c>
      <c r="C6" s="522" t="s">
        <v>641</v>
      </c>
      <c r="D6" s="522" t="s">
        <v>648</v>
      </c>
      <c r="E6" s="522" t="s">
        <v>642</v>
      </c>
      <c r="F6" s="519" t="s">
        <v>184</v>
      </c>
      <c r="G6" s="519"/>
      <c r="H6" s="519"/>
      <c r="I6" s="519"/>
      <c r="J6" s="519" t="s">
        <v>185</v>
      </c>
      <c r="K6" s="519"/>
      <c r="L6" s="519"/>
      <c r="M6" s="519"/>
      <c r="N6" s="519" t="s">
        <v>647</v>
      </c>
      <c r="O6" s="519"/>
      <c r="P6" s="519"/>
      <c r="Q6" s="519"/>
    </row>
    <row r="7" spans="1:17" ht="28.5" customHeight="1" x14ac:dyDescent="0.2">
      <c r="A7" s="92"/>
      <c r="B7" s="521"/>
      <c r="C7" s="523"/>
      <c r="D7" s="523"/>
      <c r="E7" s="524"/>
      <c r="F7" s="514" t="s">
        <v>644</v>
      </c>
      <c r="G7" s="514" t="s">
        <v>645</v>
      </c>
      <c r="H7" s="515"/>
      <c r="I7" s="514" t="s">
        <v>646</v>
      </c>
      <c r="J7" s="514" t="s">
        <v>644</v>
      </c>
      <c r="K7" s="514" t="s">
        <v>645</v>
      </c>
      <c r="L7" s="515"/>
      <c r="M7" s="514" t="s">
        <v>646</v>
      </c>
      <c r="N7" s="514" t="s">
        <v>644</v>
      </c>
      <c r="O7" s="514" t="s">
        <v>645</v>
      </c>
      <c r="P7" s="515"/>
      <c r="Q7" s="514" t="s">
        <v>646</v>
      </c>
    </row>
    <row r="8" spans="1:17" ht="50.25" customHeight="1" x14ac:dyDescent="0.2">
      <c r="A8" s="85"/>
      <c r="B8" s="521"/>
      <c r="C8" s="523"/>
      <c r="D8" s="523"/>
      <c r="E8" s="523"/>
      <c r="F8" s="514"/>
      <c r="G8" s="182" t="s">
        <v>636</v>
      </c>
      <c r="H8" s="182" t="s">
        <v>637</v>
      </c>
      <c r="I8" s="514"/>
      <c r="J8" s="514"/>
      <c r="K8" s="182" t="s">
        <v>636</v>
      </c>
      <c r="L8" s="182" t="s">
        <v>637</v>
      </c>
      <c r="M8" s="514"/>
      <c r="N8" s="514"/>
      <c r="O8" s="182" t="s">
        <v>636</v>
      </c>
      <c r="P8" s="182" t="s">
        <v>637</v>
      </c>
      <c r="Q8" s="514"/>
    </row>
    <row r="9" spans="1:17" ht="15" customHeight="1" x14ac:dyDescent="0.2">
      <c r="A9" s="85"/>
      <c r="B9" s="17">
        <v>1</v>
      </c>
      <c r="C9" s="183">
        <v>2</v>
      </c>
      <c r="D9" s="17">
        <v>3</v>
      </c>
      <c r="E9" s="183">
        <v>4</v>
      </c>
      <c r="F9" s="17">
        <v>5</v>
      </c>
      <c r="G9" s="183">
        <v>6</v>
      </c>
      <c r="H9" s="17">
        <v>7</v>
      </c>
      <c r="I9" s="183">
        <v>8</v>
      </c>
      <c r="J9" s="17">
        <v>9</v>
      </c>
      <c r="K9" s="183">
        <v>10</v>
      </c>
      <c r="L9" s="17">
        <v>11</v>
      </c>
      <c r="M9" s="183">
        <v>12</v>
      </c>
      <c r="N9" s="17">
        <v>13</v>
      </c>
      <c r="O9" s="183">
        <v>14</v>
      </c>
      <c r="P9" s="17">
        <v>15</v>
      </c>
      <c r="Q9" s="183">
        <v>16</v>
      </c>
    </row>
    <row r="10" spans="1:17" s="94" customFormat="1" ht="45" x14ac:dyDescent="0.2">
      <c r="A10" s="93"/>
      <c r="B10" s="194" t="s">
        <v>40</v>
      </c>
      <c r="C10" s="194"/>
      <c r="D10" s="194"/>
      <c r="E10" s="195" t="s">
        <v>41</v>
      </c>
      <c r="F10" s="196">
        <f>F11</f>
        <v>260000</v>
      </c>
      <c r="G10" s="196">
        <f t="shared" ref="G10:Q10" si="0">G11</f>
        <v>90000</v>
      </c>
      <c r="H10" s="196">
        <f t="shared" si="0"/>
        <v>0</v>
      </c>
      <c r="I10" s="196">
        <f t="shared" si="0"/>
        <v>350000</v>
      </c>
      <c r="J10" s="196">
        <f t="shared" si="0"/>
        <v>0</v>
      </c>
      <c r="K10" s="196">
        <f t="shared" si="0"/>
        <v>-90000</v>
      </c>
      <c r="L10" s="196">
        <f t="shared" si="0"/>
        <v>0</v>
      </c>
      <c r="M10" s="196">
        <f t="shared" si="0"/>
        <v>-90000</v>
      </c>
      <c r="N10" s="196">
        <f t="shared" si="0"/>
        <v>260000</v>
      </c>
      <c r="O10" s="196">
        <f t="shared" si="0"/>
        <v>0</v>
      </c>
      <c r="P10" s="196">
        <f t="shared" si="0"/>
        <v>0</v>
      </c>
      <c r="Q10" s="196">
        <f t="shared" si="0"/>
        <v>260000</v>
      </c>
    </row>
    <row r="11" spans="1:17" ht="42.75" x14ac:dyDescent="0.2">
      <c r="B11" s="191" t="s">
        <v>39</v>
      </c>
      <c r="C11" s="191"/>
      <c r="D11" s="191"/>
      <c r="E11" s="192" t="s">
        <v>58</v>
      </c>
      <c r="F11" s="193">
        <f>F12</f>
        <v>260000</v>
      </c>
      <c r="G11" s="193">
        <f t="shared" ref="G11:I11" si="1">G12</f>
        <v>90000</v>
      </c>
      <c r="H11" s="193">
        <f t="shared" si="1"/>
        <v>0</v>
      </c>
      <c r="I11" s="193">
        <f t="shared" si="1"/>
        <v>350000</v>
      </c>
      <c r="J11" s="193">
        <f>J13</f>
        <v>0</v>
      </c>
      <c r="K11" s="193">
        <f t="shared" ref="K11:M11" si="2">K13</f>
        <v>-90000</v>
      </c>
      <c r="L11" s="193">
        <f t="shared" si="2"/>
        <v>0</v>
      </c>
      <c r="M11" s="193">
        <f t="shared" si="2"/>
        <v>-90000</v>
      </c>
      <c r="N11" s="193">
        <f>F11+J11</f>
        <v>260000</v>
      </c>
      <c r="O11" s="193">
        <f t="shared" ref="O11:Q11" si="3">G11+K11</f>
        <v>0</v>
      </c>
      <c r="P11" s="193">
        <f t="shared" si="3"/>
        <v>0</v>
      </c>
      <c r="Q11" s="193">
        <f t="shared" si="3"/>
        <v>260000</v>
      </c>
    </row>
    <row r="12" spans="1:17" ht="60" x14ac:dyDescent="0.2">
      <c r="B12" s="188" t="s">
        <v>583</v>
      </c>
      <c r="C12" s="188" t="s">
        <v>585</v>
      </c>
      <c r="D12" s="188" t="s">
        <v>79</v>
      </c>
      <c r="E12" s="189" t="s">
        <v>781</v>
      </c>
      <c r="F12" s="190">
        <v>260000</v>
      </c>
      <c r="G12" s="190">
        <v>90000</v>
      </c>
      <c r="H12" s="190">
        <v>0</v>
      </c>
      <c r="I12" s="190">
        <f>F12+G12</f>
        <v>350000</v>
      </c>
      <c r="J12" s="190">
        <v>0</v>
      </c>
      <c r="K12" s="190">
        <v>0</v>
      </c>
      <c r="L12" s="190"/>
      <c r="M12" s="190">
        <f>J12+K12</f>
        <v>0</v>
      </c>
      <c r="N12" s="190">
        <f>F12+J12</f>
        <v>260000</v>
      </c>
      <c r="O12" s="190">
        <f>G12+K12</f>
        <v>90000</v>
      </c>
      <c r="P12" s="190" t="s">
        <v>186</v>
      </c>
      <c r="Q12" s="190">
        <f>I12+M12</f>
        <v>350000</v>
      </c>
    </row>
    <row r="13" spans="1:17" ht="60" x14ac:dyDescent="0.2">
      <c r="B13" s="188" t="s">
        <v>584</v>
      </c>
      <c r="C13" s="188" t="s">
        <v>586</v>
      </c>
      <c r="D13" s="188" t="s">
        <v>79</v>
      </c>
      <c r="E13" s="189" t="s">
        <v>782</v>
      </c>
      <c r="F13" s="190"/>
      <c r="G13" s="190">
        <f>H13+I13</f>
        <v>0</v>
      </c>
      <c r="H13" s="190"/>
      <c r="I13" s="190"/>
      <c r="J13" s="190"/>
      <c r="K13" s="190">
        <v>-90000</v>
      </c>
      <c r="L13" s="190"/>
      <c r="M13" s="190">
        <f>J13+K13</f>
        <v>-90000</v>
      </c>
      <c r="N13" s="190">
        <f>F13+J13</f>
        <v>0</v>
      </c>
      <c r="O13" s="190">
        <f>G13+K13</f>
        <v>-90000</v>
      </c>
      <c r="P13" s="190" t="s">
        <v>186</v>
      </c>
      <c r="Q13" s="190">
        <f>I13+M13</f>
        <v>-90000</v>
      </c>
    </row>
    <row r="14" spans="1:17" ht="27.75" customHeight="1" x14ac:dyDescent="0.2">
      <c r="B14" s="333" t="s">
        <v>633</v>
      </c>
      <c r="C14" s="333" t="s">
        <v>633</v>
      </c>
      <c r="D14" s="334" t="s">
        <v>633</v>
      </c>
      <c r="E14" s="335" t="s">
        <v>649</v>
      </c>
      <c r="F14" s="336">
        <f>F10</f>
        <v>260000</v>
      </c>
      <c r="G14" s="336">
        <f>H14+I14</f>
        <v>350000</v>
      </c>
      <c r="H14" s="336">
        <f t="shared" ref="H14:I14" si="4">H10</f>
        <v>0</v>
      </c>
      <c r="I14" s="336">
        <f t="shared" si="4"/>
        <v>350000</v>
      </c>
      <c r="J14" s="336">
        <f>J10</f>
        <v>0</v>
      </c>
      <c r="K14" s="336">
        <f>K10</f>
        <v>-90000</v>
      </c>
      <c r="L14" s="336">
        <f>L10</f>
        <v>0</v>
      </c>
      <c r="M14" s="336">
        <f t="shared" ref="M14:Q14" si="5">M10</f>
        <v>-90000</v>
      </c>
      <c r="N14" s="336">
        <f t="shared" si="5"/>
        <v>260000</v>
      </c>
      <c r="O14" s="336">
        <f t="shared" si="5"/>
        <v>0</v>
      </c>
      <c r="P14" s="336">
        <f t="shared" si="5"/>
        <v>0</v>
      </c>
      <c r="Q14" s="336">
        <f t="shared" si="5"/>
        <v>260000</v>
      </c>
    </row>
    <row r="15" spans="1:17" ht="27.75" customHeight="1" x14ac:dyDescent="0.25">
      <c r="B15" s="158"/>
      <c r="C15" s="158"/>
      <c r="D15" s="516"/>
      <c r="E15" s="516"/>
      <c r="F15" s="516"/>
      <c r="G15" s="516"/>
      <c r="H15" s="516"/>
      <c r="I15" s="516"/>
      <c r="J15" s="516"/>
      <c r="K15" s="516"/>
      <c r="L15" s="516"/>
      <c r="M15" s="516"/>
      <c r="N15" s="516"/>
      <c r="O15" s="516"/>
      <c r="P15" s="516"/>
      <c r="Q15" s="159"/>
    </row>
    <row r="16" spans="1:17" ht="15.75" customHeight="1" x14ac:dyDescent="0.25">
      <c r="B16" s="158"/>
      <c r="C16" s="158"/>
      <c r="D16" s="516"/>
      <c r="E16" s="516"/>
      <c r="F16" s="516"/>
      <c r="G16" s="516"/>
      <c r="H16" s="516"/>
      <c r="I16" s="516"/>
      <c r="J16" s="516"/>
      <c r="K16" s="516"/>
      <c r="L16" s="516"/>
      <c r="M16" s="516"/>
      <c r="N16" s="516"/>
      <c r="O16" s="516"/>
      <c r="P16" s="516"/>
      <c r="Q16" s="159"/>
    </row>
    <row r="17" spans="4:16" ht="15" x14ac:dyDescent="0.25">
      <c r="D17" s="516" t="s">
        <v>1006</v>
      </c>
      <c r="E17" s="516"/>
      <c r="F17" s="516"/>
      <c r="G17" s="516"/>
      <c r="H17" s="516"/>
      <c r="I17" s="516"/>
      <c r="J17" s="516"/>
      <c r="K17" s="516"/>
      <c r="L17" s="516"/>
      <c r="M17" s="516"/>
      <c r="N17" s="516"/>
      <c r="O17" s="516"/>
      <c r="P17" s="516"/>
    </row>
    <row r="18" spans="4:16" ht="15" x14ac:dyDescent="0.25">
      <c r="D18" s="516"/>
      <c r="E18" s="516"/>
      <c r="F18" s="516"/>
      <c r="G18" s="516"/>
      <c r="H18" s="516"/>
      <c r="I18" s="516"/>
      <c r="J18" s="516"/>
      <c r="K18" s="516"/>
      <c r="L18" s="516"/>
      <c r="M18" s="516"/>
      <c r="N18" s="516"/>
      <c r="O18" s="516"/>
      <c r="P18" s="516"/>
    </row>
    <row r="19" spans="4:16" ht="15" x14ac:dyDescent="0.2">
      <c r="D19" s="160"/>
      <c r="E19" s="161"/>
      <c r="F19" s="162"/>
      <c r="G19" s="160">
        <f>H19+I19</f>
        <v>0</v>
      </c>
      <c r="H19" s="160"/>
      <c r="I19" s="163"/>
      <c r="J19" s="161"/>
      <c r="K19" s="163"/>
      <c r="L19" s="160"/>
      <c r="M19" s="160"/>
      <c r="N19" s="163"/>
      <c r="O19" s="164"/>
      <c r="P19" s="165"/>
    </row>
    <row r="20" spans="4:16" ht="15" x14ac:dyDescent="0.25">
      <c r="D20" s="166"/>
      <c r="E20" s="166"/>
      <c r="F20" s="166"/>
      <c r="G20" s="166">
        <f>H20+I20</f>
        <v>0</v>
      </c>
      <c r="H20" s="166"/>
      <c r="I20" s="166"/>
      <c r="J20" s="166"/>
      <c r="K20" s="166"/>
      <c r="L20" s="166"/>
      <c r="M20" s="166"/>
      <c r="N20" s="166"/>
      <c r="O20" s="166"/>
      <c r="P20" s="166"/>
    </row>
    <row r="21" spans="4:16" x14ac:dyDescent="0.2">
      <c r="G21" s="85">
        <f>H21+I21</f>
        <v>0</v>
      </c>
    </row>
    <row r="22" spans="4:16" x14ac:dyDescent="0.2">
      <c r="G22" s="85">
        <f>H22+I22</f>
        <v>0</v>
      </c>
    </row>
    <row r="23" spans="4:16" x14ac:dyDescent="0.2">
      <c r="G23" s="85">
        <f>H23+I23</f>
        <v>0</v>
      </c>
    </row>
    <row r="45" spans="7:7" x14ac:dyDescent="0.2">
      <c r="G45" s="85">
        <f>H45+I45</f>
        <v>0</v>
      </c>
    </row>
    <row r="47" spans="7:7" x14ac:dyDescent="0.2">
      <c r="G47" s="85">
        <f t="shared" ref="G47:G65" si="6">H47+I47</f>
        <v>0</v>
      </c>
    </row>
    <row r="48" spans="7:7" x14ac:dyDescent="0.2">
      <c r="G48" s="85">
        <f t="shared" si="6"/>
        <v>0</v>
      </c>
    </row>
    <row r="49" spans="7:7" x14ac:dyDescent="0.2">
      <c r="G49" s="85">
        <f t="shared" si="6"/>
        <v>0</v>
      </c>
    </row>
    <row r="50" spans="7:7" x14ac:dyDescent="0.2">
      <c r="G50" s="85">
        <f t="shared" si="6"/>
        <v>0</v>
      </c>
    </row>
    <row r="51" spans="7:7" x14ac:dyDescent="0.2">
      <c r="G51" s="85">
        <f t="shared" si="6"/>
        <v>0</v>
      </c>
    </row>
    <row r="52" spans="7:7" x14ac:dyDescent="0.2">
      <c r="G52" s="85">
        <f t="shared" si="6"/>
        <v>0</v>
      </c>
    </row>
    <row r="53" spans="7:7" x14ac:dyDescent="0.2">
      <c r="G53" s="85">
        <f t="shared" si="6"/>
        <v>0</v>
      </c>
    </row>
    <row r="54" spans="7:7" x14ac:dyDescent="0.2">
      <c r="G54" s="85">
        <f t="shared" si="6"/>
        <v>0</v>
      </c>
    </row>
    <row r="55" spans="7:7" x14ac:dyDescent="0.2">
      <c r="G55" s="85">
        <f t="shared" si="6"/>
        <v>0</v>
      </c>
    </row>
    <row r="56" spans="7:7" x14ac:dyDescent="0.2">
      <c r="G56" s="85">
        <f t="shared" si="6"/>
        <v>0</v>
      </c>
    </row>
    <row r="57" spans="7:7" x14ac:dyDescent="0.2">
      <c r="G57" s="85">
        <f t="shared" si="6"/>
        <v>0</v>
      </c>
    </row>
    <row r="58" spans="7:7" x14ac:dyDescent="0.2">
      <c r="G58" s="85">
        <f t="shared" si="6"/>
        <v>0</v>
      </c>
    </row>
    <row r="59" spans="7:7" x14ac:dyDescent="0.2">
      <c r="G59" s="85">
        <f t="shared" si="6"/>
        <v>0</v>
      </c>
    </row>
    <row r="60" spans="7:7" x14ac:dyDescent="0.2">
      <c r="G60" s="85">
        <f t="shared" si="6"/>
        <v>0</v>
      </c>
    </row>
    <row r="61" spans="7:7" x14ac:dyDescent="0.2">
      <c r="G61" s="85">
        <f t="shared" si="6"/>
        <v>0</v>
      </c>
    </row>
    <row r="62" spans="7:7" x14ac:dyDescent="0.2">
      <c r="G62" s="85">
        <f t="shared" si="6"/>
        <v>0</v>
      </c>
    </row>
    <row r="63" spans="7:7" x14ac:dyDescent="0.2">
      <c r="G63" s="85">
        <f t="shared" si="6"/>
        <v>0</v>
      </c>
    </row>
    <row r="64" spans="7:7" x14ac:dyDescent="0.2">
      <c r="G64" s="85">
        <f t="shared" si="6"/>
        <v>0</v>
      </c>
    </row>
    <row r="65" spans="7:7" x14ac:dyDescent="0.2">
      <c r="G65" s="85">
        <f t="shared" si="6"/>
        <v>0</v>
      </c>
    </row>
    <row r="67" spans="7:7" x14ac:dyDescent="0.2">
      <c r="G67" s="85">
        <f>H67+I67</f>
        <v>0</v>
      </c>
    </row>
    <row r="68" spans="7:7" x14ac:dyDescent="0.2">
      <c r="G68" s="85">
        <f>H68+I68</f>
        <v>0</v>
      </c>
    </row>
    <row r="69" spans="7:7" x14ac:dyDescent="0.2">
      <c r="G69" s="85">
        <f>H69+I69</f>
        <v>0</v>
      </c>
    </row>
    <row r="70" spans="7:7" x14ac:dyDescent="0.2">
      <c r="G70" s="85">
        <f>H70+I70</f>
        <v>0</v>
      </c>
    </row>
    <row r="72" spans="7:7" x14ac:dyDescent="0.2">
      <c r="G72" s="85">
        <f>H72+I72</f>
        <v>0</v>
      </c>
    </row>
    <row r="75" spans="7:7" x14ac:dyDescent="0.2">
      <c r="G75" s="520"/>
    </row>
    <row r="76" spans="7:7" x14ac:dyDescent="0.2">
      <c r="G76" s="457"/>
    </row>
    <row r="112" spans="7:7" x14ac:dyDescent="0.2">
      <c r="G112" s="85">
        <f>H112+I112</f>
        <v>0</v>
      </c>
    </row>
    <row r="114" spans="7:7" x14ac:dyDescent="0.2">
      <c r="G114" s="85">
        <f t="shared" ref="G114:G124" si="7">H114+I114</f>
        <v>0</v>
      </c>
    </row>
    <row r="115" spans="7:7" x14ac:dyDescent="0.2">
      <c r="G115" s="85">
        <f t="shared" si="7"/>
        <v>0</v>
      </c>
    </row>
    <row r="116" spans="7:7" x14ac:dyDescent="0.2">
      <c r="G116" s="85">
        <f t="shared" si="7"/>
        <v>0</v>
      </c>
    </row>
    <row r="117" spans="7:7" x14ac:dyDescent="0.2">
      <c r="G117" s="85">
        <f t="shared" si="7"/>
        <v>0</v>
      </c>
    </row>
    <row r="118" spans="7:7" x14ac:dyDescent="0.2">
      <c r="G118" s="85">
        <f t="shared" si="7"/>
        <v>0</v>
      </c>
    </row>
    <row r="119" spans="7:7" x14ac:dyDescent="0.2">
      <c r="G119" s="85">
        <f t="shared" si="7"/>
        <v>0</v>
      </c>
    </row>
    <row r="120" spans="7:7" x14ac:dyDescent="0.2">
      <c r="G120" s="85">
        <f t="shared" si="7"/>
        <v>0</v>
      </c>
    </row>
    <row r="121" spans="7:7" x14ac:dyDescent="0.2">
      <c r="G121" s="85">
        <f t="shared" si="7"/>
        <v>0</v>
      </c>
    </row>
    <row r="122" spans="7:7" x14ac:dyDescent="0.2">
      <c r="G122" s="85">
        <f t="shared" si="7"/>
        <v>0</v>
      </c>
    </row>
    <row r="123" spans="7:7" x14ac:dyDescent="0.2">
      <c r="G123" s="85">
        <f t="shared" si="7"/>
        <v>0</v>
      </c>
    </row>
    <row r="124" spans="7:7" x14ac:dyDescent="0.2">
      <c r="G124" s="85">
        <f t="shared" si="7"/>
        <v>0</v>
      </c>
    </row>
    <row r="126" spans="7:7" x14ac:dyDescent="0.2">
      <c r="G126" s="85">
        <f>H127+I127</f>
        <v>0</v>
      </c>
    </row>
    <row r="127" spans="7:7" x14ac:dyDescent="0.2">
      <c r="G127" s="85">
        <f t="shared" ref="G127" si="8">H127+I127</f>
        <v>0</v>
      </c>
    </row>
    <row r="128" spans="7:7" x14ac:dyDescent="0.2">
      <c r="G128" s="85">
        <f>H128+I128</f>
        <v>0</v>
      </c>
    </row>
    <row r="129" spans="7:10" x14ac:dyDescent="0.2">
      <c r="G129" s="85">
        <f>H129+I129</f>
        <v>0</v>
      </c>
    </row>
    <row r="130" spans="7:10" x14ac:dyDescent="0.2">
      <c r="G130" s="85">
        <f>H130+I130</f>
        <v>0</v>
      </c>
    </row>
    <row r="131" spans="7:10" x14ac:dyDescent="0.2">
      <c r="G131" s="85">
        <f>H131+I131</f>
        <v>0</v>
      </c>
    </row>
    <row r="136" spans="7:10" ht="46.5" x14ac:dyDescent="0.65">
      <c r="J136" s="215"/>
    </row>
    <row r="139" spans="7:10" ht="46.5" x14ac:dyDescent="0.65">
      <c r="G139" s="215">
        <f>H139+I139</f>
        <v>0</v>
      </c>
      <c r="J139" s="215"/>
    </row>
    <row r="158" spans="11:11" ht="90" x14ac:dyDescent="1.1499999999999999">
      <c r="K158" s="212" t="b">
        <f>G158=H158+I158</f>
        <v>1</v>
      </c>
    </row>
  </sheetData>
  <mergeCells count="23">
    <mergeCell ref="G75:G76"/>
    <mergeCell ref="B6:B8"/>
    <mergeCell ref="C6:C8"/>
    <mergeCell ref="D6:D8"/>
    <mergeCell ref="E6:E8"/>
    <mergeCell ref="F6:I6"/>
    <mergeCell ref="F7:F8"/>
    <mergeCell ref="I7:I8"/>
    <mergeCell ref="O7:P7"/>
    <mergeCell ref="D18:P18"/>
    <mergeCell ref="D15:P15"/>
    <mergeCell ref="D17:P17"/>
    <mergeCell ref="M2:Q2"/>
    <mergeCell ref="E3:M4"/>
    <mergeCell ref="J6:M6"/>
    <mergeCell ref="N6:Q6"/>
    <mergeCell ref="Q7:Q8"/>
    <mergeCell ref="M7:M8"/>
    <mergeCell ref="N7:N8"/>
    <mergeCell ref="J7:J8"/>
    <mergeCell ref="D16:P16"/>
    <mergeCell ref="G7:H7"/>
    <mergeCell ref="K7:L7"/>
  </mergeCells>
  <printOptions horizontalCentered="1"/>
  <pageMargins left="0.19685039370078741" right="0" top="0.59055118110236227" bottom="0.39370078740157483" header="0.31496062992125984" footer="0.31496062992125984"/>
  <pageSetup paperSize="9" scale="5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8"/>
  <sheetViews>
    <sheetView view="pageBreakPreview" topLeftCell="B1" zoomScale="70" zoomScaleNormal="40" zoomScaleSheetLayoutView="70" workbookViewId="0">
      <pane ySplit="5" topLeftCell="A142" activePane="bottomLeft" state="frozen"/>
      <selection activeCell="K153" sqref="K153"/>
      <selection pane="bottomLeft" activeCell="G2" sqref="G2:J2"/>
    </sheetView>
  </sheetViews>
  <sheetFormatPr defaultColWidth="7.85546875" defaultRowHeight="12.75" x14ac:dyDescent="0.2"/>
  <cols>
    <col min="1" max="1" width="3.28515625" style="16" hidden="1" customWidth="1"/>
    <col min="2" max="2" width="14.28515625" style="134" customWidth="1"/>
    <col min="3" max="3" width="14" style="134" customWidth="1"/>
    <col min="4" max="4" width="16.85546875" style="134" customWidth="1"/>
    <col min="5" max="5" width="41.5703125" style="134" customWidth="1"/>
    <col min="6" max="6" width="38.5703125" style="134" customWidth="1"/>
    <col min="7" max="10" width="18.140625" style="134" customWidth="1"/>
    <col min="11" max="11" width="52.5703125" style="16" customWidth="1"/>
    <col min="12" max="12" width="16.5703125" style="16" customWidth="1"/>
    <col min="13" max="13" width="13.7109375" style="16" customWidth="1"/>
    <col min="14" max="14" width="12.7109375" style="16" customWidth="1"/>
    <col min="15" max="16384" width="7.85546875" style="16"/>
  </cols>
  <sheetData>
    <row r="1" spans="1:10" s="15" customFormat="1" ht="22.7" customHeight="1" x14ac:dyDescent="0.25">
      <c r="B1" s="532"/>
      <c r="C1" s="532"/>
      <c r="D1" s="532"/>
      <c r="E1" s="532"/>
      <c r="F1" s="532"/>
      <c r="G1" s="532"/>
      <c r="H1" s="532"/>
      <c r="I1" s="532"/>
      <c r="J1" s="532"/>
    </row>
    <row r="2" spans="1:10" ht="41.25" customHeight="1" x14ac:dyDescent="0.2">
      <c r="G2" s="517" t="s">
        <v>1021</v>
      </c>
      <c r="H2" s="517"/>
      <c r="I2" s="517"/>
      <c r="J2" s="517"/>
    </row>
    <row r="3" spans="1:10" ht="34.5" customHeight="1" x14ac:dyDescent="0.2">
      <c r="B3" s="533" t="s">
        <v>650</v>
      </c>
      <c r="C3" s="518"/>
      <c r="D3" s="518"/>
      <c r="E3" s="518"/>
      <c r="F3" s="518"/>
      <c r="G3" s="518"/>
      <c r="H3" s="518"/>
      <c r="I3" s="518"/>
      <c r="J3" s="518"/>
    </row>
    <row r="4" spans="1:10" ht="173.25" customHeight="1" x14ac:dyDescent="0.2">
      <c r="B4" s="298" t="s">
        <v>29</v>
      </c>
      <c r="C4" s="298" t="s">
        <v>641</v>
      </c>
      <c r="D4" s="298" t="s">
        <v>648</v>
      </c>
      <c r="E4" s="298" t="s">
        <v>642</v>
      </c>
      <c r="F4" s="18" t="s">
        <v>663</v>
      </c>
      <c r="G4" s="18" t="s">
        <v>664</v>
      </c>
      <c r="H4" s="18" t="s">
        <v>665</v>
      </c>
      <c r="I4" s="18" t="s">
        <v>666</v>
      </c>
      <c r="J4" s="18" t="s">
        <v>667</v>
      </c>
    </row>
    <row r="5" spans="1:10" ht="20.25" customHeight="1" x14ac:dyDescent="0.2">
      <c r="B5" s="298">
        <v>1</v>
      </c>
      <c r="C5" s="298">
        <v>2</v>
      </c>
      <c r="D5" s="298">
        <v>3</v>
      </c>
      <c r="E5" s="298">
        <v>4</v>
      </c>
      <c r="F5" s="298">
        <v>5</v>
      </c>
      <c r="G5" s="298">
        <v>6</v>
      </c>
      <c r="H5" s="298">
        <v>7</v>
      </c>
      <c r="I5" s="298">
        <v>8</v>
      </c>
      <c r="J5" s="298">
        <v>9</v>
      </c>
    </row>
    <row r="6" spans="1:10" ht="39.75" customHeight="1" x14ac:dyDescent="0.2">
      <c r="B6" s="401" t="s">
        <v>228</v>
      </c>
      <c r="C6" s="401"/>
      <c r="D6" s="401"/>
      <c r="E6" s="401" t="s">
        <v>230</v>
      </c>
      <c r="F6" s="401"/>
      <c r="G6" s="401"/>
      <c r="H6" s="401"/>
      <c r="I6" s="403">
        <f>I7</f>
        <v>9172679</v>
      </c>
      <c r="J6" s="401"/>
    </row>
    <row r="7" spans="1:10" ht="47.25" customHeight="1" x14ac:dyDescent="0.2">
      <c r="B7" s="402" t="s">
        <v>229</v>
      </c>
      <c r="C7" s="402"/>
      <c r="D7" s="402"/>
      <c r="E7" s="402" t="s">
        <v>231</v>
      </c>
      <c r="F7" s="402"/>
      <c r="G7" s="402"/>
      <c r="H7" s="402"/>
      <c r="I7" s="404">
        <f>SUM(I8:I14)</f>
        <v>9172679</v>
      </c>
      <c r="J7" s="402"/>
    </row>
    <row r="8" spans="1:10" ht="93.75" customHeight="1" x14ac:dyDescent="0.2">
      <c r="B8" s="342" t="s">
        <v>331</v>
      </c>
      <c r="C8" s="342" t="s">
        <v>332</v>
      </c>
      <c r="D8" s="342" t="s">
        <v>333</v>
      </c>
      <c r="E8" s="342" t="s">
        <v>330</v>
      </c>
      <c r="F8" s="378" t="s">
        <v>90</v>
      </c>
      <c r="G8" s="405"/>
      <c r="H8" s="405"/>
      <c r="I8" s="343">
        <f>((210000)+568500)+300000</f>
        <v>1078500</v>
      </c>
      <c r="J8" s="343"/>
    </row>
    <row r="9" spans="1:10" ht="30" x14ac:dyDescent="0.2">
      <c r="B9" s="342" t="s">
        <v>347</v>
      </c>
      <c r="C9" s="342" t="s">
        <v>71</v>
      </c>
      <c r="D9" s="342" t="s">
        <v>70</v>
      </c>
      <c r="E9" s="342" t="s">
        <v>348</v>
      </c>
      <c r="F9" s="378" t="s">
        <v>90</v>
      </c>
      <c r="G9" s="405"/>
      <c r="H9" s="405"/>
      <c r="I9" s="343">
        <v>475727</v>
      </c>
      <c r="J9" s="343"/>
    </row>
    <row r="10" spans="1:10" ht="30" x14ac:dyDescent="0.2">
      <c r="B10" s="342" t="s">
        <v>337</v>
      </c>
      <c r="C10" s="342" t="s">
        <v>338</v>
      </c>
      <c r="D10" s="342" t="s">
        <v>339</v>
      </c>
      <c r="E10" s="342" t="s">
        <v>336</v>
      </c>
      <c r="F10" s="378" t="s">
        <v>90</v>
      </c>
      <c r="G10" s="405"/>
      <c r="H10" s="405"/>
      <c r="I10" s="343">
        <f>(1500000)+2000000</f>
        <v>3500000</v>
      </c>
      <c r="J10" s="343"/>
    </row>
    <row r="11" spans="1:10" ht="60" x14ac:dyDescent="0.2">
      <c r="B11" s="342" t="s">
        <v>840</v>
      </c>
      <c r="C11" s="342" t="s">
        <v>587</v>
      </c>
      <c r="D11" s="342" t="s">
        <v>71</v>
      </c>
      <c r="E11" s="342" t="s">
        <v>588</v>
      </c>
      <c r="F11" s="406" t="s">
        <v>844</v>
      </c>
      <c r="G11" s="405"/>
      <c r="H11" s="405"/>
      <c r="I11" s="343">
        <v>100000</v>
      </c>
      <c r="J11" s="343"/>
    </row>
    <row r="12" spans="1:10" ht="60" x14ac:dyDescent="0.2">
      <c r="B12" s="342" t="s">
        <v>842</v>
      </c>
      <c r="C12" s="342" t="s">
        <v>843</v>
      </c>
      <c r="D12" s="342" t="s">
        <v>71</v>
      </c>
      <c r="E12" s="342" t="s">
        <v>841</v>
      </c>
      <c r="F12" s="378" t="s">
        <v>90</v>
      </c>
      <c r="G12" s="405"/>
      <c r="H12" s="405"/>
      <c r="I12" s="343">
        <f>(58170+30300+400000+500000+25000+37182+15000+74000+84800+1200000+94000)-500000</f>
        <v>2018452</v>
      </c>
      <c r="J12" s="343"/>
    </row>
    <row r="13" spans="1:10" ht="60" x14ac:dyDescent="0.2">
      <c r="B13" s="342" t="s">
        <v>842</v>
      </c>
      <c r="C13" s="342" t="s">
        <v>843</v>
      </c>
      <c r="D13" s="342" t="s">
        <v>71</v>
      </c>
      <c r="E13" s="342" t="s">
        <v>841</v>
      </c>
      <c r="F13" s="406" t="s">
        <v>945</v>
      </c>
      <c r="G13" s="405"/>
      <c r="H13" s="405"/>
      <c r="I13" s="343">
        <v>500000</v>
      </c>
      <c r="J13" s="343"/>
    </row>
    <row r="14" spans="1:10" ht="90" x14ac:dyDescent="0.2">
      <c r="B14" s="342" t="s">
        <v>842</v>
      </c>
      <c r="C14" s="342" t="s">
        <v>843</v>
      </c>
      <c r="D14" s="342" t="s">
        <v>71</v>
      </c>
      <c r="E14" s="342" t="s">
        <v>841</v>
      </c>
      <c r="F14" s="406" t="s">
        <v>847</v>
      </c>
      <c r="G14" s="405"/>
      <c r="H14" s="405"/>
      <c r="I14" s="343">
        <f>(1000000)+500000</f>
        <v>1500000</v>
      </c>
      <c r="J14" s="343"/>
    </row>
    <row r="15" spans="1:10" ht="45" x14ac:dyDescent="0.2">
      <c r="A15" s="20"/>
      <c r="B15" s="401" t="s">
        <v>232</v>
      </c>
      <c r="C15" s="401"/>
      <c r="D15" s="401"/>
      <c r="E15" s="401" t="s">
        <v>0</v>
      </c>
      <c r="F15" s="401"/>
      <c r="G15" s="401"/>
      <c r="H15" s="401"/>
      <c r="I15" s="403">
        <f>I16</f>
        <v>42828398.039999999</v>
      </c>
      <c r="J15" s="401"/>
    </row>
    <row r="16" spans="1:10" ht="42.75" x14ac:dyDescent="0.2">
      <c r="A16" s="20"/>
      <c r="B16" s="402" t="s">
        <v>233</v>
      </c>
      <c r="C16" s="402"/>
      <c r="D16" s="402"/>
      <c r="E16" s="402" t="s">
        <v>1</v>
      </c>
      <c r="F16" s="402"/>
      <c r="G16" s="402"/>
      <c r="H16" s="402"/>
      <c r="I16" s="404">
        <f>SUM(I17:I33)</f>
        <v>42828398.039999999</v>
      </c>
      <c r="J16" s="402"/>
    </row>
    <row r="17" spans="1:11" ht="15" x14ac:dyDescent="0.2">
      <c r="B17" s="342" t="s">
        <v>288</v>
      </c>
      <c r="C17" s="342" t="s">
        <v>289</v>
      </c>
      <c r="D17" s="342" t="s">
        <v>291</v>
      </c>
      <c r="E17" s="342" t="s">
        <v>292</v>
      </c>
      <c r="F17" s="378" t="s">
        <v>90</v>
      </c>
      <c r="G17" s="378"/>
      <c r="H17" s="373"/>
      <c r="I17" s="343">
        <f>((((252000+2500000)+85050+3024412+498000)+293810)-500000+400000-292260+265777-295360+192517)+6750</f>
        <v>6430696</v>
      </c>
      <c r="J17" s="343"/>
    </row>
    <row r="18" spans="1:11" ht="89.45" customHeight="1" x14ac:dyDescent="0.2">
      <c r="B18" s="342" t="s">
        <v>294</v>
      </c>
      <c r="C18" s="342" t="s">
        <v>290</v>
      </c>
      <c r="D18" s="342" t="s">
        <v>295</v>
      </c>
      <c r="E18" s="342" t="s">
        <v>612</v>
      </c>
      <c r="F18" s="378" t="s">
        <v>90</v>
      </c>
      <c r="G18" s="378"/>
      <c r="H18" s="373"/>
      <c r="I18" s="343">
        <f>(((((171000+2450000-200000)-200000)+3289000+2395200+3800000+1755405+209983.74+832762.3+69030+130614+70500+771570+507746)+4087678)-280000+1000000+100000+360000+1751862+68114-17500+3156560+120000-360000-3156560+1893940)-59900+17530+147988+845777-1893940</f>
        <v>23834360.039999999</v>
      </c>
      <c r="J18" s="343"/>
    </row>
    <row r="19" spans="1:11" ht="89.45" customHeight="1" x14ac:dyDescent="0.2">
      <c r="B19" s="342" t="s">
        <v>294</v>
      </c>
      <c r="C19" s="342" t="s">
        <v>290</v>
      </c>
      <c r="D19" s="342" t="s">
        <v>295</v>
      </c>
      <c r="E19" s="342" t="s">
        <v>612</v>
      </c>
      <c r="F19" s="406" t="s">
        <v>698</v>
      </c>
      <c r="G19" s="378" t="s">
        <v>740</v>
      </c>
      <c r="H19" s="373">
        <v>305362</v>
      </c>
      <c r="I19" s="343">
        <f>100000-38500</f>
        <v>61500</v>
      </c>
      <c r="J19" s="408">
        <f>I19/H19</f>
        <v>0.20140030521151944</v>
      </c>
    </row>
    <row r="20" spans="1:11" ht="105" x14ac:dyDescent="0.2">
      <c r="B20" s="342" t="s">
        <v>294</v>
      </c>
      <c r="C20" s="342" t="s">
        <v>290</v>
      </c>
      <c r="D20" s="342" t="s">
        <v>295</v>
      </c>
      <c r="E20" s="342" t="s">
        <v>612</v>
      </c>
      <c r="F20" s="406" t="s">
        <v>775</v>
      </c>
      <c r="G20" s="378" t="s">
        <v>768</v>
      </c>
      <c r="H20" s="373">
        <v>1601181</v>
      </c>
      <c r="I20" s="343">
        <f>200000+655000</f>
        <v>855000</v>
      </c>
      <c r="J20" s="408">
        <v>1</v>
      </c>
    </row>
    <row r="21" spans="1:11" ht="75" x14ac:dyDescent="0.2">
      <c r="B21" s="342" t="s">
        <v>294</v>
      </c>
      <c r="C21" s="342" t="s">
        <v>290</v>
      </c>
      <c r="D21" s="342" t="s">
        <v>295</v>
      </c>
      <c r="E21" s="342" t="s">
        <v>612</v>
      </c>
      <c r="F21" s="406" t="s">
        <v>803</v>
      </c>
      <c r="G21" s="378" t="s">
        <v>740</v>
      </c>
      <c r="H21" s="373">
        <f>1482763+38500</f>
        <v>1521263</v>
      </c>
      <c r="I21" s="343">
        <f>(200000+1282763)+38500</f>
        <v>1521263</v>
      </c>
      <c r="J21" s="408">
        <f>I21/H21</f>
        <v>1</v>
      </c>
    </row>
    <row r="22" spans="1:11" ht="120" hidden="1" x14ac:dyDescent="0.2">
      <c r="A22" s="407"/>
      <c r="B22" s="342" t="s">
        <v>294</v>
      </c>
      <c r="C22" s="342" t="s">
        <v>290</v>
      </c>
      <c r="D22" s="342" t="s">
        <v>295</v>
      </c>
      <c r="E22" s="342" t="s">
        <v>612</v>
      </c>
      <c r="F22" s="406" t="s">
        <v>966</v>
      </c>
      <c r="G22" s="378"/>
      <c r="H22" s="373"/>
      <c r="I22" s="343">
        <f>750000-750000</f>
        <v>0</v>
      </c>
      <c r="J22" s="408"/>
    </row>
    <row r="23" spans="1:11" ht="105" hidden="1" x14ac:dyDescent="0.2">
      <c r="A23" s="407"/>
      <c r="B23" s="342" t="s">
        <v>294</v>
      </c>
      <c r="C23" s="342" t="s">
        <v>290</v>
      </c>
      <c r="D23" s="342" t="s">
        <v>295</v>
      </c>
      <c r="E23" s="342" t="s">
        <v>612</v>
      </c>
      <c r="F23" s="406" t="s">
        <v>967</v>
      </c>
      <c r="G23" s="378"/>
      <c r="H23" s="373"/>
      <c r="I23" s="343">
        <f>750000-750000</f>
        <v>0</v>
      </c>
      <c r="J23" s="408"/>
    </row>
    <row r="24" spans="1:11" ht="89.45" customHeight="1" x14ac:dyDescent="0.2">
      <c r="B24" s="342" t="s">
        <v>294</v>
      </c>
      <c r="C24" s="342" t="s">
        <v>290</v>
      </c>
      <c r="D24" s="342" t="s">
        <v>295</v>
      </c>
      <c r="E24" s="342" t="s">
        <v>612</v>
      </c>
      <c r="F24" s="406" t="s">
        <v>820</v>
      </c>
      <c r="G24" s="378" t="s">
        <v>805</v>
      </c>
      <c r="H24" s="373">
        <v>1497539</v>
      </c>
      <c r="I24" s="343">
        <f>300000-228000</f>
        <v>72000</v>
      </c>
      <c r="J24" s="408">
        <f>I24/H24</f>
        <v>4.8078881418113319E-2</v>
      </c>
      <c r="K24" s="16" t="s">
        <v>807</v>
      </c>
    </row>
    <row r="25" spans="1:11" ht="90" x14ac:dyDescent="0.2">
      <c r="B25" s="342" t="s">
        <v>298</v>
      </c>
      <c r="C25" s="342" t="s">
        <v>297</v>
      </c>
      <c r="D25" s="342" t="s">
        <v>299</v>
      </c>
      <c r="E25" s="342" t="s">
        <v>32</v>
      </c>
      <c r="F25" s="378" t="s">
        <v>90</v>
      </c>
      <c r="G25" s="378"/>
      <c r="H25" s="373"/>
      <c r="I25" s="343">
        <f>9000+30000</f>
        <v>39000</v>
      </c>
      <c r="J25" s="343"/>
    </row>
    <row r="26" spans="1:11" ht="45" x14ac:dyDescent="0.2">
      <c r="B26" s="342" t="s">
        <v>300</v>
      </c>
      <c r="C26" s="342" t="s">
        <v>281</v>
      </c>
      <c r="D26" s="342" t="s">
        <v>269</v>
      </c>
      <c r="E26" s="342" t="s">
        <v>33</v>
      </c>
      <c r="F26" s="378" t="s">
        <v>90</v>
      </c>
      <c r="G26" s="378"/>
      <c r="H26" s="373"/>
      <c r="I26" s="343">
        <f>(18000+2000000+60000)+1500000+60000</f>
        <v>3638000</v>
      </c>
      <c r="J26" s="343"/>
    </row>
    <row r="27" spans="1:11" ht="45" x14ac:dyDescent="0.2">
      <c r="B27" s="342" t="s">
        <v>300</v>
      </c>
      <c r="C27" s="342" t="s">
        <v>281</v>
      </c>
      <c r="D27" s="342" t="s">
        <v>269</v>
      </c>
      <c r="E27" s="342" t="s">
        <v>33</v>
      </c>
      <c r="F27" s="406" t="s">
        <v>608</v>
      </c>
      <c r="G27" s="378" t="s">
        <v>768</v>
      </c>
      <c r="H27" s="373">
        <v>1064162</v>
      </c>
      <c r="I27" s="343">
        <f>300000+300000</f>
        <v>600000</v>
      </c>
      <c r="J27" s="408">
        <v>1</v>
      </c>
    </row>
    <row r="28" spans="1:11" ht="30" x14ac:dyDescent="0.2">
      <c r="B28" s="342" t="s">
        <v>301</v>
      </c>
      <c r="C28" s="342" t="s">
        <v>302</v>
      </c>
      <c r="D28" s="342" t="s">
        <v>303</v>
      </c>
      <c r="E28" s="342" t="s">
        <v>304</v>
      </c>
      <c r="F28" s="378" t="s">
        <v>90</v>
      </c>
      <c r="G28" s="378"/>
      <c r="H28" s="373"/>
      <c r="I28" s="343">
        <f>(216557)+38700+100000</f>
        <v>355257</v>
      </c>
      <c r="J28" s="408"/>
    </row>
    <row r="29" spans="1:11" ht="75" x14ac:dyDescent="0.2">
      <c r="B29" s="342" t="s">
        <v>301</v>
      </c>
      <c r="C29" s="342" t="s">
        <v>302</v>
      </c>
      <c r="D29" s="342" t="s">
        <v>303</v>
      </c>
      <c r="E29" s="342" t="s">
        <v>304</v>
      </c>
      <c r="F29" s="406" t="s">
        <v>999</v>
      </c>
      <c r="G29" s="378" t="s">
        <v>740</v>
      </c>
      <c r="H29" s="373">
        <v>58266</v>
      </c>
      <c r="I29" s="343">
        <v>58266</v>
      </c>
      <c r="J29" s="408">
        <v>1</v>
      </c>
    </row>
    <row r="30" spans="1:11" ht="30" x14ac:dyDescent="0.2">
      <c r="B30" s="342" t="s">
        <v>491</v>
      </c>
      <c r="C30" s="342" t="s">
        <v>492</v>
      </c>
      <c r="D30" s="342" t="s">
        <v>308</v>
      </c>
      <c r="E30" s="342" t="s">
        <v>490</v>
      </c>
      <c r="F30" s="378" t="s">
        <v>90</v>
      </c>
      <c r="G30" s="378"/>
      <c r="H30" s="373"/>
      <c r="I30" s="343">
        <f>(9000)+15000</f>
        <v>24000</v>
      </c>
      <c r="J30" s="343"/>
    </row>
    <row r="31" spans="1:11" ht="30" x14ac:dyDescent="0.2">
      <c r="B31" s="342" t="s">
        <v>797</v>
      </c>
      <c r="C31" s="342" t="s">
        <v>798</v>
      </c>
      <c r="D31" s="342" t="s">
        <v>308</v>
      </c>
      <c r="E31" s="342" t="s">
        <v>799</v>
      </c>
      <c r="F31" s="378" t="s">
        <v>90</v>
      </c>
      <c r="G31" s="378"/>
      <c r="H31" s="373"/>
      <c r="I31" s="343">
        <v>200000</v>
      </c>
      <c r="J31" s="343"/>
    </row>
    <row r="32" spans="1:11" ht="120" x14ac:dyDescent="0.2">
      <c r="B32" s="342" t="s">
        <v>975</v>
      </c>
      <c r="C32" s="342" t="s">
        <v>974</v>
      </c>
      <c r="D32" s="342" t="s">
        <v>285</v>
      </c>
      <c r="E32" s="342" t="s">
        <v>976</v>
      </c>
      <c r="F32" s="342" t="s">
        <v>966</v>
      </c>
      <c r="G32" s="378" t="s">
        <v>740</v>
      </c>
      <c r="H32" s="373">
        <v>1499056</v>
      </c>
      <c r="I32" s="343">
        <f>749056+750000</f>
        <v>1499056</v>
      </c>
      <c r="J32" s="408">
        <f>I32/H32</f>
        <v>1</v>
      </c>
    </row>
    <row r="33" spans="1:10" ht="19.5" customHeight="1" x14ac:dyDescent="0.2">
      <c r="B33" s="342" t="s">
        <v>310</v>
      </c>
      <c r="C33" s="342" t="s">
        <v>311</v>
      </c>
      <c r="D33" s="342" t="s">
        <v>312</v>
      </c>
      <c r="E33" s="342" t="s">
        <v>67</v>
      </c>
      <c r="F33" s="378" t="s">
        <v>90</v>
      </c>
      <c r="G33" s="378"/>
      <c r="H33" s="373"/>
      <c r="I33" s="343">
        <f>(5000000)-848138-1751862+1440000+500000-700000</f>
        <v>3640000</v>
      </c>
      <c r="J33" s="343"/>
    </row>
    <row r="34" spans="1:10" ht="45" x14ac:dyDescent="0.2">
      <c r="B34" s="401" t="s">
        <v>234</v>
      </c>
      <c r="C34" s="401"/>
      <c r="D34" s="401"/>
      <c r="E34" s="401" t="s">
        <v>36</v>
      </c>
      <c r="F34" s="401"/>
      <c r="G34" s="401"/>
      <c r="H34" s="401"/>
      <c r="I34" s="403">
        <f>I35</f>
        <v>30192587</v>
      </c>
      <c r="J34" s="401"/>
    </row>
    <row r="35" spans="1:10" ht="42.75" x14ac:dyDescent="0.2">
      <c r="B35" s="402" t="s">
        <v>235</v>
      </c>
      <c r="C35" s="402"/>
      <c r="D35" s="402"/>
      <c r="E35" s="402" t="s">
        <v>59</v>
      </c>
      <c r="F35" s="402"/>
      <c r="G35" s="402"/>
      <c r="H35" s="402"/>
      <c r="I35" s="404">
        <f>SUM(I36:I46)</f>
        <v>30192587</v>
      </c>
      <c r="J35" s="402"/>
    </row>
    <row r="36" spans="1:10" ht="30" x14ac:dyDescent="0.2">
      <c r="B36" s="342" t="s">
        <v>313</v>
      </c>
      <c r="C36" s="342" t="s">
        <v>309</v>
      </c>
      <c r="D36" s="342" t="s">
        <v>314</v>
      </c>
      <c r="E36" s="342" t="s">
        <v>37</v>
      </c>
      <c r="F36" s="378" t="s">
        <v>90</v>
      </c>
      <c r="G36" s="378"/>
      <c r="H36" s="378"/>
      <c r="I36" s="343">
        <f>((((3342900)-208200-167638+907400+500000+200000+1000000+574630+1500000+208200+167638-130216)+2000000)+825600+352700+168400+1398400+1108000+270000-37400)-226000-170000-50000-158000-225400+238139+38581</f>
        <v>13427734</v>
      </c>
      <c r="J36" s="343"/>
    </row>
    <row r="37" spans="1:10" ht="135" x14ac:dyDescent="0.2">
      <c r="B37" s="342" t="s">
        <v>313</v>
      </c>
      <c r="C37" s="342" t="s">
        <v>309</v>
      </c>
      <c r="D37" s="342" t="s">
        <v>314</v>
      </c>
      <c r="E37" s="342" t="s">
        <v>37</v>
      </c>
      <c r="F37" s="342" t="s">
        <v>867</v>
      </c>
      <c r="G37" s="378" t="s">
        <v>740</v>
      </c>
      <c r="H37" s="378">
        <v>537155</v>
      </c>
      <c r="I37" s="343">
        <f>(350000)+160300</f>
        <v>510300</v>
      </c>
      <c r="J37" s="408">
        <v>1</v>
      </c>
    </row>
    <row r="38" spans="1:10" ht="90" x14ac:dyDescent="0.2">
      <c r="B38" s="342" t="s">
        <v>313</v>
      </c>
      <c r="C38" s="342" t="s">
        <v>309</v>
      </c>
      <c r="D38" s="342" t="s">
        <v>314</v>
      </c>
      <c r="E38" s="342" t="s">
        <v>37</v>
      </c>
      <c r="F38" s="406" t="s">
        <v>866</v>
      </c>
      <c r="G38" s="378" t="s">
        <v>805</v>
      </c>
      <c r="H38" s="378">
        <v>8340131</v>
      </c>
      <c r="I38" s="343">
        <f>(390000+2000000)+2700000</f>
        <v>5090000</v>
      </c>
      <c r="J38" s="408">
        <f>I38/H38</f>
        <v>0.61030216431852213</v>
      </c>
    </row>
    <row r="39" spans="1:10" ht="30" x14ac:dyDescent="0.2">
      <c r="A39" s="133"/>
      <c r="B39" s="342" t="s">
        <v>315</v>
      </c>
      <c r="C39" s="342" t="s">
        <v>316</v>
      </c>
      <c r="D39" s="342" t="s">
        <v>317</v>
      </c>
      <c r="E39" s="342" t="s">
        <v>318</v>
      </c>
      <c r="F39" s="378" t="s">
        <v>90</v>
      </c>
      <c r="G39" s="343"/>
      <c r="H39" s="343"/>
      <c r="I39" s="343">
        <v>126000</v>
      </c>
      <c r="J39" s="343"/>
    </row>
    <row r="40" spans="1:10" ht="52.5" customHeight="1" x14ac:dyDescent="0.2">
      <c r="B40" s="342" t="s">
        <v>319</v>
      </c>
      <c r="C40" s="342" t="s">
        <v>320</v>
      </c>
      <c r="D40" s="342" t="s">
        <v>321</v>
      </c>
      <c r="E40" s="342" t="s">
        <v>538</v>
      </c>
      <c r="F40" s="378" t="s">
        <v>90</v>
      </c>
      <c r="G40" s="378"/>
      <c r="H40" s="378"/>
      <c r="I40" s="343">
        <f>939600-99000</f>
        <v>840600</v>
      </c>
      <c r="J40" s="343"/>
    </row>
    <row r="41" spans="1:10" ht="52.5" customHeight="1" x14ac:dyDescent="0.2">
      <c r="B41" s="342" t="s">
        <v>322</v>
      </c>
      <c r="C41" s="342" t="s">
        <v>323</v>
      </c>
      <c r="D41" s="342" t="s">
        <v>324</v>
      </c>
      <c r="E41" s="342" t="s">
        <v>325</v>
      </c>
      <c r="F41" s="378" t="s">
        <v>90</v>
      </c>
      <c r="G41" s="378"/>
      <c r="H41" s="378"/>
      <c r="I41" s="343">
        <v>1600000</v>
      </c>
      <c r="J41" s="343"/>
    </row>
    <row r="42" spans="1:10" ht="100.5" customHeight="1" x14ac:dyDescent="0.2">
      <c r="B42" s="342" t="s">
        <v>495</v>
      </c>
      <c r="C42" s="342" t="s">
        <v>497</v>
      </c>
      <c r="D42" s="342" t="s">
        <v>329</v>
      </c>
      <c r="E42" s="410" t="s">
        <v>493</v>
      </c>
      <c r="F42" s="410" t="s">
        <v>868</v>
      </c>
      <c r="G42" s="378"/>
      <c r="H42" s="378"/>
      <c r="I42" s="343">
        <f>167704-60000</f>
        <v>107704</v>
      </c>
      <c r="J42" s="343"/>
    </row>
    <row r="43" spans="1:10" ht="30" x14ac:dyDescent="0.2">
      <c r="B43" s="342" t="s">
        <v>863</v>
      </c>
      <c r="C43" s="342" t="s">
        <v>287</v>
      </c>
      <c r="D43" s="342" t="s">
        <v>250</v>
      </c>
      <c r="E43" s="342" t="s">
        <v>57</v>
      </c>
      <c r="F43" s="378" t="s">
        <v>90</v>
      </c>
      <c r="G43" s="378"/>
      <c r="H43" s="378"/>
      <c r="I43" s="343">
        <f>((215650+500000+1300000+32670+2270000+99100+189000+89000+137600+27500+18340+16016+45000+47500+1600000+208200+167638+25000-208200-167638-1600000+130216)+390000+37400-11300+11300+80000-390000+96000+192200+42000)-483400+75600+464000-1800-4900-3500-4200+13500-135800+135800</f>
        <v>5645492</v>
      </c>
      <c r="J43" s="343"/>
    </row>
    <row r="44" spans="1:10" ht="90" x14ac:dyDescent="0.2">
      <c r="B44" s="342" t="s">
        <v>863</v>
      </c>
      <c r="C44" s="342" t="s">
        <v>287</v>
      </c>
      <c r="D44" s="342" t="s">
        <v>250</v>
      </c>
      <c r="E44" s="342" t="s">
        <v>57</v>
      </c>
      <c r="F44" s="406" t="s">
        <v>889</v>
      </c>
      <c r="G44" s="378"/>
      <c r="H44" s="378"/>
      <c r="I44" s="343">
        <v>600000</v>
      </c>
      <c r="J44" s="343"/>
    </row>
    <row r="45" spans="1:10" ht="105" x14ac:dyDescent="0.2">
      <c r="B45" s="342" t="s">
        <v>863</v>
      </c>
      <c r="C45" s="342" t="s">
        <v>287</v>
      </c>
      <c r="D45" s="342" t="s">
        <v>250</v>
      </c>
      <c r="E45" s="342" t="s">
        <v>57</v>
      </c>
      <c r="F45" s="406" t="s">
        <v>887</v>
      </c>
      <c r="G45" s="378"/>
      <c r="H45" s="378"/>
      <c r="I45" s="343">
        <f>((200000)+1000000)-500000</f>
        <v>700000</v>
      </c>
      <c r="J45" s="343"/>
    </row>
    <row r="46" spans="1:10" ht="15" x14ac:dyDescent="0.2">
      <c r="B46" s="342" t="s">
        <v>865</v>
      </c>
      <c r="C46" s="342" t="s">
        <v>587</v>
      </c>
      <c r="D46" s="342" t="s">
        <v>71</v>
      </c>
      <c r="E46" s="342" t="s">
        <v>588</v>
      </c>
      <c r="F46" s="378" t="s">
        <v>90</v>
      </c>
      <c r="G46" s="378"/>
      <c r="H46" s="378"/>
      <c r="I46" s="343">
        <f>(750692+35300+150000+218765)+390000</f>
        <v>1544757</v>
      </c>
      <c r="J46" s="343"/>
    </row>
    <row r="47" spans="1:10" ht="45" x14ac:dyDescent="0.2">
      <c r="B47" s="401" t="s">
        <v>236</v>
      </c>
      <c r="C47" s="401"/>
      <c r="D47" s="401"/>
      <c r="E47" s="401" t="s">
        <v>60</v>
      </c>
      <c r="F47" s="401"/>
      <c r="G47" s="401"/>
      <c r="H47" s="401"/>
      <c r="I47" s="403">
        <f>I48</f>
        <v>25693258.48</v>
      </c>
      <c r="J47" s="401"/>
    </row>
    <row r="48" spans="1:10" ht="57" x14ac:dyDescent="0.2">
      <c r="B48" s="402" t="s">
        <v>237</v>
      </c>
      <c r="C48" s="402"/>
      <c r="D48" s="402"/>
      <c r="E48" s="402" t="s">
        <v>61</v>
      </c>
      <c r="F48" s="402"/>
      <c r="G48" s="402"/>
      <c r="H48" s="402"/>
      <c r="I48" s="404">
        <f>SUM(I49:I69)</f>
        <v>25693258.48</v>
      </c>
      <c r="J48" s="402"/>
    </row>
    <row r="49" spans="2:11" ht="45" x14ac:dyDescent="0.2">
      <c r="B49" s="342" t="s">
        <v>704</v>
      </c>
      <c r="C49" s="342" t="s">
        <v>335</v>
      </c>
      <c r="D49" s="342" t="s">
        <v>333</v>
      </c>
      <c r="E49" s="342" t="s">
        <v>334</v>
      </c>
      <c r="F49" s="378" t="s">
        <v>90</v>
      </c>
      <c r="G49" s="378"/>
      <c r="H49" s="378"/>
      <c r="I49" s="373">
        <f>(450000)+49000</f>
        <v>499000</v>
      </c>
      <c r="J49" s="373"/>
    </row>
    <row r="50" spans="2:11" ht="30" x14ac:dyDescent="0.2">
      <c r="B50" s="342" t="s">
        <v>400</v>
      </c>
      <c r="C50" s="342" t="s">
        <v>401</v>
      </c>
      <c r="D50" s="342" t="s">
        <v>296</v>
      </c>
      <c r="E50" s="371" t="s">
        <v>402</v>
      </c>
      <c r="F50" s="378" t="s">
        <v>90</v>
      </c>
      <c r="G50" s="411"/>
      <c r="H50" s="411"/>
      <c r="I50" s="343">
        <v>100000</v>
      </c>
      <c r="J50" s="343"/>
    </row>
    <row r="51" spans="2:11" ht="75" customHeight="1" x14ac:dyDescent="0.2">
      <c r="B51" s="342" t="s">
        <v>398</v>
      </c>
      <c r="C51" s="342" t="s">
        <v>396</v>
      </c>
      <c r="D51" s="342" t="s">
        <v>290</v>
      </c>
      <c r="E51" s="342" t="s">
        <v>35</v>
      </c>
      <c r="F51" s="378" t="s">
        <v>90</v>
      </c>
      <c r="G51" s="378"/>
      <c r="H51" s="378"/>
      <c r="I51" s="373">
        <f>((175000)+20000+10000)-82860+80360</f>
        <v>202500</v>
      </c>
      <c r="J51" s="373"/>
    </row>
    <row r="52" spans="2:11" ht="75" customHeight="1" x14ac:dyDescent="0.2">
      <c r="B52" s="342" t="s">
        <v>399</v>
      </c>
      <c r="C52" s="342" t="s">
        <v>397</v>
      </c>
      <c r="D52" s="342" t="s">
        <v>289</v>
      </c>
      <c r="E52" s="342" t="s">
        <v>501</v>
      </c>
      <c r="F52" s="378" t="s">
        <v>90</v>
      </c>
      <c r="G52" s="378"/>
      <c r="H52" s="378"/>
      <c r="I52" s="373">
        <f>3000+226250+45000</f>
        <v>274250</v>
      </c>
      <c r="J52" s="373"/>
    </row>
    <row r="53" spans="2:11" ht="105" x14ac:dyDescent="0.2">
      <c r="B53" s="534" t="s">
        <v>925</v>
      </c>
      <c r="C53" s="534" t="s">
        <v>926</v>
      </c>
      <c r="D53" s="534" t="s">
        <v>79</v>
      </c>
      <c r="E53" s="412" t="s">
        <v>927</v>
      </c>
      <c r="F53" s="525" t="s">
        <v>90</v>
      </c>
      <c r="G53" s="525"/>
      <c r="H53" s="525"/>
      <c r="I53" s="526">
        <v>5371203.1200000001</v>
      </c>
      <c r="J53" s="525"/>
    </row>
    <row r="54" spans="2:11" ht="105" x14ac:dyDescent="0.2">
      <c r="B54" s="535"/>
      <c r="C54" s="535"/>
      <c r="D54" s="535"/>
      <c r="E54" s="412" t="s">
        <v>928</v>
      </c>
      <c r="F54" s="494"/>
      <c r="G54" s="494"/>
      <c r="H54" s="494"/>
      <c r="I54" s="494"/>
      <c r="J54" s="494"/>
    </row>
    <row r="55" spans="2:11" ht="90" x14ac:dyDescent="0.2">
      <c r="B55" s="536"/>
      <c r="C55" s="536"/>
      <c r="D55" s="536"/>
      <c r="E55" s="413" t="s">
        <v>929</v>
      </c>
      <c r="F55" s="495"/>
      <c r="G55" s="495"/>
      <c r="H55" s="495"/>
      <c r="I55" s="495"/>
      <c r="J55" s="495"/>
    </row>
    <row r="56" spans="2:11" ht="105" x14ac:dyDescent="0.2">
      <c r="B56" s="529">
        <v>813222</v>
      </c>
      <c r="C56" s="529">
        <v>3222</v>
      </c>
      <c r="D56" s="529">
        <v>1060</v>
      </c>
      <c r="E56" s="340" t="s">
        <v>978</v>
      </c>
      <c r="F56" s="525" t="s">
        <v>90</v>
      </c>
      <c r="G56" s="525"/>
      <c r="H56" s="525"/>
      <c r="I56" s="526">
        <v>854690</v>
      </c>
      <c r="J56" s="525"/>
    </row>
    <row r="57" spans="2:11" ht="120" x14ac:dyDescent="0.2">
      <c r="B57" s="530"/>
      <c r="C57" s="530"/>
      <c r="D57" s="530"/>
      <c r="E57" s="341" t="s">
        <v>979</v>
      </c>
      <c r="F57" s="494"/>
      <c r="G57" s="494"/>
      <c r="H57" s="494"/>
      <c r="I57" s="527"/>
      <c r="J57" s="494"/>
    </row>
    <row r="58" spans="2:11" ht="105" x14ac:dyDescent="0.2">
      <c r="B58" s="530"/>
      <c r="C58" s="530"/>
      <c r="D58" s="530"/>
      <c r="E58" s="341" t="s">
        <v>980</v>
      </c>
      <c r="F58" s="494"/>
      <c r="G58" s="494"/>
      <c r="H58" s="494"/>
      <c r="I58" s="527"/>
      <c r="J58" s="494"/>
    </row>
    <row r="59" spans="2:11" ht="45" x14ac:dyDescent="0.2">
      <c r="B59" s="531"/>
      <c r="C59" s="531"/>
      <c r="D59" s="531"/>
      <c r="E59" s="341" t="s">
        <v>981</v>
      </c>
      <c r="F59" s="495"/>
      <c r="G59" s="495"/>
      <c r="H59" s="495"/>
      <c r="I59" s="528"/>
      <c r="J59" s="495"/>
    </row>
    <row r="60" spans="2:11" ht="107.45" customHeight="1" x14ac:dyDescent="0.2">
      <c r="B60" s="534" t="s">
        <v>930</v>
      </c>
      <c r="C60" s="534" t="s">
        <v>931</v>
      </c>
      <c r="D60" s="534" t="s">
        <v>79</v>
      </c>
      <c r="E60" s="414" t="s">
        <v>932</v>
      </c>
      <c r="F60" s="525" t="s">
        <v>90</v>
      </c>
      <c r="G60" s="525"/>
      <c r="H60" s="525"/>
      <c r="I60" s="526">
        <v>7952988.3600000003</v>
      </c>
      <c r="J60" s="525"/>
    </row>
    <row r="61" spans="2:11" ht="105" x14ac:dyDescent="0.2">
      <c r="B61" s="535"/>
      <c r="C61" s="535"/>
      <c r="D61" s="535"/>
      <c r="E61" s="413" t="s">
        <v>933</v>
      </c>
      <c r="F61" s="494"/>
      <c r="G61" s="494"/>
      <c r="H61" s="494"/>
      <c r="I61" s="494"/>
      <c r="J61" s="494"/>
    </row>
    <row r="62" spans="2:11" ht="30" x14ac:dyDescent="0.2">
      <c r="B62" s="536"/>
      <c r="C62" s="536"/>
      <c r="D62" s="536"/>
      <c r="E62" s="413" t="s">
        <v>934</v>
      </c>
      <c r="F62" s="495"/>
      <c r="G62" s="495"/>
      <c r="H62" s="495"/>
      <c r="I62" s="495"/>
      <c r="J62" s="495"/>
    </row>
    <row r="63" spans="2:11" ht="45" x14ac:dyDescent="0.2">
      <c r="B63" s="342" t="s">
        <v>510</v>
      </c>
      <c r="C63" s="342" t="s">
        <v>512</v>
      </c>
      <c r="D63" s="342" t="s">
        <v>281</v>
      </c>
      <c r="E63" s="410" t="s">
        <v>514</v>
      </c>
      <c r="F63" s="378" t="s">
        <v>90</v>
      </c>
      <c r="G63" s="343"/>
      <c r="H63" s="415"/>
      <c r="I63" s="373">
        <f>(((300000+900000+650000)+10000+10000+379343+16000+28650+213910-10400)+300000+95000-300000+689000)-20000+20000+609043</f>
        <v>3890546</v>
      </c>
      <c r="J63" s="373"/>
    </row>
    <row r="64" spans="2:11" ht="105" x14ac:dyDescent="0.2">
      <c r="B64" s="342" t="s">
        <v>510</v>
      </c>
      <c r="C64" s="342" t="s">
        <v>512</v>
      </c>
      <c r="D64" s="342" t="s">
        <v>281</v>
      </c>
      <c r="E64" s="410" t="s">
        <v>514</v>
      </c>
      <c r="F64" s="406" t="s">
        <v>774</v>
      </c>
      <c r="G64" s="378" t="s">
        <v>740</v>
      </c>
      <c r="H64" s="415">
        <v>406827</v>
      </c>
      <c r="I64" s="373">
        <f>180000+226827</f>
        <v>406827</v>
      </c>
      <c r="J64" s="374">
        <f>I64/H64</f>
        <v>1</v>
      </c>
      <c r="K64" s="152" t="s">
        <v>685</v>
      </c>
    </row>
    <row r="65" spans="1:11" ht="30" x14ac:dyDescent="0.2">
      <c r="B65" s="342" t="s">
        <v>511</v>
      </c>
      <c r="C65" s="342" t="s">
        <v>513</v>
      </c>
      <c r="D65" s="342" t="s">
        <v>281</v>
      </c>
      <c r="E65" s="410" t="s">
        <v>515</v>
      </c>
      <c r="F65" s="378" t="s">
        <v>90</v>
      </c>
      <c r="G65" s="378"/>
      <c r="H65" s="415"/>
      <c r="I65" s="373">
        <v>199000</v>
      </c>
      <c r="J65" s="374"/>
      <c r="K65" s="235"/>
    </row>
    <row r="66" spans="1:11" ht="30" x14ac:dyDescent="0.2">
      <c r="B66" s="342" t="s">
        <v>511</v>
      </c>
      <c r="C66" s="342" t="s">
        <v>513</v>
      </c>
      <c r="D66" s="342" t="s">
        <v>281</v>
      </c>
      <c r="E66" s="410" t="s">
        <v>515</v>
      </c>
      <c r="F66" s="406" t="s">
        <v>1000</v>
      </c>
      <c r="G66" s="343"/>
      <c r="H66" s="343"/>
      <c r="I66" s="373">
        <v>220000</v>
      </c>
      <c r="J66" s="373"/>
    </row>
    <row r="67" spans="1:11" ht="30" x14ac:dyDescent="0.2">
      <c r="B67" s="342" t="s">
        <v>593</v>
      </c>
      <c r="C67" s="342" t="s">
        <v>591</v>
      </c>
      <c r="D67" s="342" t="s">
        <v>529</v>
      </c>
      <c r="E67" s="410" t="s">
        <v>592</v>
      </c>
      <c r="F67" s="378" t="s">
        <v>90</v>
      </c>
      <c r="G67" s="343"/>
      <c r="H67" s="415"/>
      <c r="I67" s="373">
        <f>((3500000)-258036)-50000</f>
        <v>3191964</v>
      </c>
      <c r="J67" s="373"/>
    </row>
    <row r="68" spans="1:11" ht="105" x14ac:dyDescent="0.2">
      <c r="B68" s="342" t="s">
        <v>960</v>
      </c>
      <c r="C68" s="342" t="s">
        <v>961</v>
      </c>
      <c r="D68" s="342" t="s">
        <v>529</v>
      </c>
      <c r="E68" s="410" t="s">
        <v>959</v>
      </c>
      <c r="F68" s="378" t="s">
        <v>90</v>
      </c>
      <c r="G68" s="343"/>
      <c r="H68" s="415"/>
      <c r="I68" s="373">
        <v>530290</v>
      </c>
      <c r="J68" s="373"/>
    </row>
    <row r="69" spans="1:11" ht="105" x14ac:dyDescent="0.2">
      <c r="B69" s="342" t="s">
        <v>686</v>
      </c>
      <c r="C69" s="342" t="s">
        <v>687</v>
      </c>
      <c r="D69" s="342" t="s">
        <v>444</v>
      </c>
      <c r="E69" s="410" t="s">
        <v>688</v>
      </c>
      <c r="F69" s="406" t="s">
        <v>689</v>
      </c>
      <c r="G69" s="373" t="s">
        <v>805</v>
      </c>
      <c r="H69" s="415">
        <v>8638500</v>
      </c>
      <c r="I69" s="373">
        <f>(1000000)+1000000</f>
        <v>2000000</v>
      </c>
      <c r="J69" s="367">
        <f>I69/H69</f>
        <v>0.23152167621693581</v>
      </c>
    </row>
    <row r="70" spans="1:11" ht="45" x14ac:dyDescent="0.2">
      <c r="A70" s="237"/>
      <c r="B70" s="401">
        <v>1000000</v>
      </c>
      <c r="C70" s="401"/>
      <c r="D70" s="401"/>
      <c r="E70" s="401" t="s">
        <v>43</v>
      </c>
      <c r="F70" s="401"/>
      <c r="G70" s="401"/>
      <c r="H70" s="401"/>
      <c r="I70" s="403">
        <f>I71</f>
        <v>7739554</v>
      </c>
      <c r="J70" s="401"/>
    </row>
    <row r="71" spans="1:11" ht="42.75" x14ac:dyDescent="0.2">
      <c r="A71" s="237"/>
      <c r="B71" s="402">
        <v>1010000</v>
      </c>
      <c r="C71" s="402"/>
      <c r="D71" s="402"/>
      <c r="E71" s="402" t="s">
        <v>62</v>
      </c>
      <c r="F71" s="402"/>
      <c r="G71" s="402"/>
      <c r="H71" s="402"/>
      <c r="I71" s="404">
        <f>SUM(I72:I78)</f>
        <v>7739554</v>
      </c>
      <c r="J71" s="402"/>
    </row>
    <row r="72" spans="1:11" ht="60" x14ac:dyDescent="0.2">
      <c r="B72" s="342" t="s">
        <v>34</v>
      </c>
      <c r="C72" s="342" t="s">
        <v>268</v>
      </c>
      <c r="D72" s="342" t="s">
        <v>269</v>
      </c>
      <c r="E72" s="342" t="s">
        <v>267</v>
      </c>
      <c r="F72" s="378" t="s">
        <v>90</v>
      </c>
      <c r="G72" s="378"/>
      <c r="H72" s="378"/>
      <c r="I72" s="373">
        <f>((386442)+67100+547508)-400000</f>
        <v>601050</v>
      </c>
      <c r="J72" s="373"/>
    </row>
    <row r="73" spans="1:11" ht="60" x14ac:dyDescent="0.2">
      <c r="B73" s="342" t="s">
        <v>34</v>
      </c>
      <c r="C73" s="342" t="s">
        <v>268</v>
      </c>
      <c r="D73" s="342" t="s">
        <v>269</v>
      </c>
      <c r="E73" s="342" t="s">
        <v>267</v>
      </c>
      <c r="F73" s="406" t="s">
        <v>829</v>
      </c>
      <c r="G73" s="373" t="s">
        <v>768</v>
      </c>
      <c r="H73" s="378">
        <v>431954</v>
      </c>
      <c r="I73" s="373">
        <f>431954-164900</f>
        <v>267054</v>
      </c>
      <c r="J73" s="367">
        <v>1</v>
      </c>
    </row>
    <row r="74" spans="1:11" ht="15" x14ac:dyDescent="0.2">
      <c r="B74" s="342" t="s">
        <v>257</v>
      </c>
      <c r="C74" s="342" t="s">
        <v>258</v>
      </c>
      <c r="D74" s="342" t="s">
        <v>259</v>
      </c>
      <c r="E74" s="342" t="s">
        <v>260</v>
      </c>
      <c r="F74" s="378" t="s">
        <v>90</v>
      </c>
      <c r="G74" s="378"/>
      <c r="H74" s="378"/>
      <c r="I74" s="373">
        <f>400000+87250+46500+98200</f>
        <v>631950</v>
      </c>
      <c r="J74" s="373"/>
    </row>
    <row r="75" spans="1:11" ht="15" x14ac:dyDescent="0.2">
      <c r="B75" s="342" t="s">
        <v>261</v>
      </c>
      <c r="C75" s="342" t="s">
        <v>262</v>
      </c>
      <c r="D75" s="342" t="s">
        <v>259</v>
      </c>
      <c r="E75" s="342" t="s">
        <v>263</v>
      </c>
      <c r="F75" s="378" t="s">
        <v>90</v>
      </c>
      <c r="G75" s="378"/>
      <c r="H75" s="378"/>
      <c r="I75" s="373">
        <v>70000</v>
      </c>
      <c r="J75" s="373"/>
    </row>
    <row r="76" spans="1:11" ht="60" x14ac:dyDescent="0.2">
      <c r="B76" s="342" t="s">
        <v>261</v>
      </c>
      <c r="C76" s="342" t="s">
        <v>262</v>
      </c>
      <c r="D76" s="342" t="s">
        <v>259</v>
      </c>
      <c r="E76" s="342" t="s">
        <v>263</v>
      </c>
      <c r="F76" s="406" t="s">
        <v>31</v>
      </c>
      <c r="G76" s="373" t="s">
        <v>681</v>
      </c>
      <c r="H76" s="373">
        <v>26997397.190000001</v>
      </c>
      <c r="I76" s="373">
        <f>(2930000)+2000000</f>
        <v>4930000</v>
      </c>
      <c r="J76" s="374">
        <f>1-((18158597.19-2000000)/H76)</f>
        <v>0.40147573944701442</v>
      </c>
    </row>
    <row r="77" spans="1:11" ht="45" x14ac:dyDescent="0.2">
      <c r="B77" s="342" t="s">
        <v>264</v>
      </c>
      <c r="C77" s="342" t="s">
        <v>253</v>
      </c>
      <c r="D77" s="342" t="s">
        <v>265</v>
      </c>
      <c r="E77" s="342" t="s">
        <v>266</v>
      </c>
      <c r="F77" s="378" t="s">
        <v>90</v>
      </c>
      <c r="G77" s="373"/>
      <c r="H77" s="415"/>
      <c r="I77" s="373">
        <f>(500000)+630000+60000</f>
        <v>1190000</v>
      </c>
      <c r="J77" s="373"/>
    </row>
    <row r="78" spans="1:11" ht="30" x14ac:dyDescent="0.2">
      <c r="B78" s="342" t="s">
        <v>828</v>
      </c>
      <c r="C78" s="342" t="s">
        <v>287</v>
      </c>
      <c r="D78" s="342" t="s">
        <v>250</v>
      </c>
      <c r="E78" s="342" t="s">
        <v>57</v>
      </c>
      <c r="F78" s="378" t="s">
        <v>90</v>
      </c>
      <c r="G78" s="373"/>
      <c r="H78" s="415"/>
      <c r="I78" s="373">
        <f>(25000)+24500</f>
        <v>49500</v>
      </c>
      <c r="J78" s="373"/>
    </row>
    <row r="79" spans="1:11" ht="45" x14ac:dyDescent="0.2">
      <c r="B79" s="401" t="s">
        <v>40</v>
      </c>
      <c r="C79" s="401"/>
      <c r="D79" s="401"/>
      <c r="E79" s="401" t="s">
        <v>41</v>
      </c>
      <c r="F79" s="401"/>
      <c r="G79" s="401"/>
      <c r="H79" s="401"/>
      <c r="I79" s="403">
        <f>I80</f>
        <v>3274040</v>
      </c>
      <c r="J79" s="401"/>
    </row>
    <row r="80" spans="1:11" ht="42.75" x14ac:dyDescent="0.2">
      <c r="B80" s="402" t="s">
        <v>39</v>
      </c>
      <c r="C80" s="402"/>
      <c r="D80" s="402"/>
      <c r="E80" s="402" t="s">
        <v>58</v>
      </c>
      <c r="F80" s="402"/>
      <c r="G80" s="402"/>
      <c r="H80" s="402"/>
      <c r="I80" s="404">
        <f>SUM(I81:I89)</f>
        <v>3274040</v>
      </c>
      <c r="J80" s="402"/>
    </row>
    <row r="81" spans="2:10" ht="45" x14ac:dyDescent="0.2">
      <c r="B81" s="342" t="s">
        <v>271</v>
      </c>
      <c r="C81" s="342" t="s">
        <v>272</v>
      </c>
      <c r="D81" s="342" t="s">
        <v>273</v>
      </c>
      <c r="E81" s="342" t="s">
        <v>274</v>
      </c>
      <c r="F81" s="378" t="s">
        <v>90</v>
      </c>
      <c r="G81" s="420"/>
      <c r="H81" s="420"/>
      <c r="I81" s="343">
        <f>(53278)+35200</f>
        <v>88478</v>
      </c>
      <c r="J81" s="343"/>
    </row>
    <row r="82" spans="2:10" s="135" customFormat="1" ht="30" x14ac:dyDescent="0.2">
      <c r="B82" s="342" t="s">
        <v>278</v>
      </c>
      <c r="C82" s="342" t="s">
        <v>279</v>
      </c>
      <c r="D82" s="342" t="s">
        <v>273</v>
      </c>
      <c r="E82" s="342" t="s">
        <v>23</v>
      </c>
      <c r="F82" s="378" t="s">
        <v>90</v>
      </c>
      <c r="G82" s="420"/>
      <c r="H82" s="420"/>
      <c r="I82" s="343">
        <f>((592430)+199000+285686)+8000-120556+48687</f>
        <v>1013247</v>
      </c>
      <c r="J82" s="343"/>
    </row>
    <row r="83" spans="2:10" s="135" customFormat="1" ht="75" x14ac:dyDescent="0.2">
      <c r="B83" s="342" t="s">
        <v>278</v>
      </c>
      <c r="C83" s="342" t="s">
        <v>279</v>
      </c>
      <c r="D83" s="342" t="s">
        <v>273</v>
      </c>
      <c r="E83" s="342" t="s">
        <v>23</v>
      </c>
      <c r="F83" s="342" t="s">
        <v>882</v>
      </c>
      <c r="G83" s="420"/>
      <c r="H83" s="420"/>
      <c r="I83" s="343">
        <v>66820</v>
      </c>
      <c r="J83" s="343"/>
    </row>
    <row r="84" spans="2:10" s="135" customFormat="1" ht="75" x14ac:dyDescent="0.2">
      <c r="B84" s="342" t="s">
        <v>278</v>
      </c>
      <c r="C84" s="342" t="s">
        <v>279</v>
      </c>
      <c r="D84" s="342" t="s">
        <v>273</v>
      </c>
      <c r="E84" s="342" t="s">
        <v>23</v>
      </c>
      <c r="F84" s="342" t="s">
        <v>951</v>
      </c>
      <c r="G84" s="420"/>
      <c r="H84" s="420"/>
      <c r="I84" s="343">
        <v>8988</v>
      </c>
      <c r="J84" s="343"/>
    </row>
    <row r="85" spans="2:10" s="135" customFormat="1" ht="15" x14ac:dyDescent="0.2">
      <c r="B85" s="342" t="s">
        <v>560</v>
      </c>
      <c r="C85" s="342" t="s">
        <v>561</v>
      </c>
      <c r="D85" s="342" t="s">
        <v>273</v>
      </c>
      <c r="E85" s="342" t="s">
        <v>562</v>
      </c>
      <c r="F85" s="378" t="s">
        <v>90</v>
      </c>
      <c r="G85" s="420"/>
      <c r="H85" s="420"/>
      <c r="I85" s="343">
        <f>((816103)+45000+6600+100000+280000+119000)+30000-120200</f>
        <v>1276503</v>
      </c>
      <c r="J85" s="343"/>
    </row>
    <row r="86" spans="2:10" s="135" customFormat="1" ht="45" x14ac:dyDescent="0.2">
      <c r="B86" s="342" t="s">
        <v>49</v>
      </c>
      <c r="C86" s="342" t="s">
        <v>282</v>
      </c>
      <c r="D86" s="342" t="s">
        <v>285</v>
      </c>
      <c r="E86" s="342" t="s">
        <v>77</v>
      </c>
      <c r="F86" s="378" t="s">
        <v>90</v>
      </c>
      <c r="G86" s="420"/>
      <c r="H86" s="420"/>
      <c r="I86" s="343">
        <f>((140000+199800)+97000)+12000+34000</f>
        <v>482800</v>
      </c>
      <c r="J86" s="343"/>
    </row>
    <row r="87" spans="2:10" s="135" customFormat="1" ht="90" x14ac:dyDescent="0.2">
      <c r="B87" s="342" t="s">
        <v>49</v>
      </c>
      <c r="C87" s="342" t="s">
        <v>282</v>
      </c>
      <c r="D87" s="342" t="s">
        <v>285</v>
      </c>
      <c r="E87" s="342" t="s">
        <v>77</v>
      </c>
      <c r="F87" s="406" t="s">
        <v>877</v>
      </c>
      <c r="G87" s="373" t="s">
        <v>771</v>
      </c>
      <c r="H87" s="420">
        <v>5902604</v>
      </c>
      <c r="I87" s="343">
        <v>180000</v>
      </c>
      <c r="J87" s="408">
        <f>(1000300+I87)/H87</f>
        <v>0.19996259278108441</v>
      </c>
    </row>
    <row r="88" spans="2:10" s="135" customFormat="1" ht="30" x14ac:dyDescent="0.2">
      <c r="B88" s="419" t="s">
        <v>53</v>
      </c>
      <c r="C88" s="419" t="s">
        <v>286</v>
      </c>
      <c r="D88" s="419" t="s">
        <v>285</v>
      </c>
      <c r="E88" s="342" t="s">
        <v>54</v>
      </c>
      <c r="F88" s="378" t="s">
        <v>90</v>
      </c>
      <c r="G88" s="373"/>
      <c r="H88" s="420"/>
      <c r="I88" s="343">
        <v>57500</v>
      </c>
      <c r="J88" s="408"/>
    </row>
    <row r="89" spans="2:10" s="135" customFormat="1" ht="30" x14ac:dyDescent="0.2">
      <c r="B89" s="342" t="s">
        <v>876</v>
      </c>
      <c r="C89" s="342" t="s">
        <v>287</v>
      </c>
      <c r="D89" s="342" t="s">
        <v>250</v>
      </c>
      <c r="E89" s="342" t="s">
        <v>57</v>
      </c>
      <c r="F89" s="378" t="s">
        <v>90</v>
      </c>
      <c r="G89" s="373"/>
      <c r="H89" s="420"/>
      <c r="I89" s="343">
        <v>99704</v>
      </c>
      <c r="J89" s="408"/>
    </row>
    <row r="90" spans="2:10" ht="45" x14ac:dyDescent="0.2">
      <c r="B90" s="401" t="s">
        <v>238</v>
      </c>
      <c r="C90" s="401"/>
      <c r="D90" s="401"/>
      <c r="E90" s="401" t="s">
        <v>42</v>
      </c>
      <c r="F90" s="401"/>
      <c r="G90" s="401"/>
      <c r="H90" s="401"/>
      <c r="I90" s="403">
        <f>I91</f>
        <v>235577972.31</v>
      </c>
      <c r="J90" s="401"/>
    </row>
    <row r="91" spans="2:10" ht="45" customHeight="1" x14ac:dyDescent="0.2">
      <c r="B91" s="402" t="s">
        <v>239</v>
      </c>
      <c r="C91" s="402"/>
      <c r="D91" s="402"/>
      <c r="E91" s="402" t="s">
        <v>63</v>
      </c>
      <c r="F91" s="402"/>
      <c r="G91" s="402"/>
      <c r="H91" s="402"/>
      <c r="I91" s="404">
        <f>SUM(I92:I95)+I96+I105+I107+I108+I104+I106</f>
        <v>235577972.31</v>
      </c>
      <c r="J91" s="402"/>
    </row>
    <row r="92" spans="2:10" ht="37.5" customHeight="1" x14ac:dyDescent="0.2">
      <c r="B92" s="342" t="s">
        <v>411</v>
      </c>
      <c r="C92" s="342" t="s">
        <v>412</v>
      </c>
      <c r="D92" s="342" t="s">
        <v>529</v>
      </c>
      <c r="E92" s="342" t="s">
        <v>413</v>
      </c>
      <c r="F92" s="378" t="s">
        <v>90</v>
      </c>
      <c r="G92" s="378"/>
      <c r="H92" s="378"/>
      <c r="I92" s="365">
        <f>(4550000)-95000</f>
        <v>4455000</v>
      </c>
      <c r="J92" s="365"/>
    </row>
    <row r="93" spans="2:10" ht="53.45" customHeight="1" x14ac:dyDescent="0.2">
      <c r="B93" s="342" t="s">
        <v>441</v>
      </c>
      <c r="C93" s="342" t="s">
        <v>442</v>
      </c>
      <c r="D93" s="342" t="s">
        <v>414</v>
      </c>
      <c r="E93" s="342" t="s">
        <v>443</v>
      </c>
      <c r="F93" s="378" t="s">
        <v>90</v>
      </c>
      <c r="G93" s="378"/>
      <c r="H93" s="378"/>
      <c r="I93" s="365">
        <f>(5000000)+770000+375000</f>
        <v>6145000</v>
      </c>
      <c r="J93" s="365"/>
    </row>
    <row r="94" spans="2:10" ht="37.5" customHeight="1" x14ac:dyDescent="0.2">
      <c r="B94" s="342" t="s">
        <v>415</v>
      </c>
      <c r="C94" s="342" t="s">
        <v>416</v>
      </c>
      <c r="D94" s="342" t="s">
        <v>414</v>
      </c>
      <c r="E94" s="342" t="s">
        <v>417</v>
      </c>
      <c r="F94" s="378" t="s">
        <v>90</v>
      </c>
      <c r="G94" s="378"/>
      <c r="H94" s="378"/>
      <c r="I94" s="365">
        <f>((23000000)+271028+1000000)+60000</f>
        <v>24331028</v>
      </c>
      <c r="J94" s="365"/>
    </row>
    <row r="95" spans="2:10" ht="37.5" customHeight="1" x14ac:dyDescent="0.2">
      <c r="B95" s="342" t="s">
        <v>421</v>
      </c>
      <c r="C95" s="342" t="s">
        <v>422</v>
      </c>
      <c r="D95" s="342" t="s">
        <v>414</v>
      </c>
      <c r="E95" s="342" t="s">
        <v>423</v>
      </c>
      <c r="F95" s="378" t="s">
        <v>90</v>
      </c>
      <c r="G95" s="378"/>
      <c r="H95" s="378"/>
      <c r="I95" s="365">
        <f>(((19160721)+3210000+1000000-1000000)-184050+1774730)-1744949</f>
        <v>22216452</v>
      </c>
      <c r="J95" s="365"/>
    </row>
    <row r="96" spans="2:10" ht="38.25" customHeight="1" x14ac:dyDescent="0.2">
      <c r="B96" s="342" t="s">
        <v>445</v>
      </c>
      <c r="C96" s="342" t="s">
        <v>446</v>
      </c>
      <c r="D96" s="342" t="s">
        <v>444</v>
      </c>
      <c r="E96" s="342" t="s">
        <v>477</v>
      </c>
      <c r="F96" s="378" t="s">
        <v>80</v>
      </c>
      <c r="G96" s="378"/>
      <c r="H96" s="378"/>
      <c r="I96" s="343">
        <f>I97+I98+I99+I100+I101+I103+I102</f>
        <v>8368600</v>
      </c>
      <c r="J96" s="343"/>
    </row>
    <row r="97" spans="2:10" ht="126.75" customHeight="1" x14ac:dyDescent="0.2">
      <c r="B97" s="362" t="s">
        <v>445</v>
      </c>
      <c r="C97" s="362" t="s">
        <v>446</v>
      </c>
      <c r="D97" s="362" t="s">
        <v>444</v>
      </c>
      <c r="E97" s="362" t="s">
        <v>477</v>
      </c>
      <c r="F97" s="366" t="s">
        <v>91</v>
      </c>
      <c r="G97" s="363"/>
      <c r="H97" s="363"/>
      <c r="I97" s="364">
        <f>((100000)+200000)-260000</f>
        <v>40000</v>
      </c>
      <c r="J97" s="364"/>
    </row>
    <row r="98" spans="2:10" ht="55.5" customHeight="1" x14ac:dyDescent="0.2">
      <c r="B98" s="362" t="s">
        <v>445</v>
      </c>
      <c r="C98" s="362" t="s">
        <v>446</v>
      </c>
      <c r="D98" s="362" t="s">
        <v>444</v>
      </c>
      <c r="E98" s="362" t="s">
        <v>477</v>
      </c>
      <c r="F98" s="366" t="s">
        <v>226</v>
      </c>
      <c r="G98" s="425" t="s">
        <v>805</v>
      </c>
      <c r="H98" s="363">
        <v>18370999</v>
      </c>
      <c r="I98" s="364">
        <v>2000000</v>
      </c>
      <c r="J98" s="367">
        <f>(300000+171778.77+I98)/H98</f>
        <v>0.13454786917140435</v>
      </c>
    </row>
    <row r="99" spans="2:10" ht="48.75" customHeight="1" x14ac:dyDescent="0.2">
      <c r="B99" s="362" t="s">
        <v>445</v>
      </c>
      <c r="C99" s="362" t="s">
        <v>446</v>
      </c>
      <c r="D99" s="362" t="s">
        <v>444</v>
      </c>
      <c r="E99" s="362" t="s">
        <v>477</v>
      </c>
      <c r="F99" s="366" t="s">
        <v>478</v>
      </c>
      <c r="G99" s="425" t="s">
        <v>805</v>
      </c>
      <c r="H99" s="363">
        <v>9392018</v>
      </c>
      <c r="I99" s="364">
        <v>2000000</v>
      </c>
      <c r="J99" s="367">
        <f>(24948+I99)/H99</f>
        <v>0.21560307912527424</v>
      </c>
    </row>
    <row r="100" spans="2:10" ht="60.75" customHeight="1" x14ac:dyDescent="0.2">
      <c r="B100" s="362" t="s">
        <v>445</v>
      </c>
      <c r="C100" s="362" t="s">
        <v>446</v>
      </c>
      <c r="D100" s="362" t="s">
        <v>444</v>
      </c>
      <c r="E100" s="362" t="s">
        <v>477</v>
      </c>
      <c r="F100" s="366" t="s">
        <v>479</v>
      </c>
      <c r="G100" s="363" t="s">
        <v>740</v>
      </c>
      <c r="H100" s="363">
        <v>3589039</v>
      </c>
      <c r="I100" s="364">
        <f>(1500000)+1888600</f>
        <v>3388600</v>
      </c>
      <c r="J100" s="367">
        <v>1</v>
      </c>
    </row>
    <row r="101" spans="2:10" ht="66" customHeight="1" x14ac:dyDescent="0.2">
      <c r="B101" s="362" t="s">
        <v>445</v>
      </c>
      <c r="C101" s="362" t="s">
        <v>446</v>
      </c>
      <c r="D101" s="362" t="s">
        <v>444</v>
      </c>
      <c r="E101" s="362" t="s">
        <v>477</v>
      </c>
      <c r="F101" s="366" t="s">
        <v>480</v>
      </c>
      <c r="G101" s="363"/>
      <c r="H101" s="363"/>
      <c r="I101" s="364">
        <v>100000</v>
      </c>
      <c r="J101" s="364"/>
    </row>
    <row r="102" spans="2:10" ht="66" customHeight="1" x14ac:dyDescent="0.2">
      <c r="B102" s="362" t="s">
        <v>445</v>
      </c>
      <c r="C102" s="362" t="s">
        <v>446</v>
      </c>
      <c r="D102" s="362" t="s">
        <v>444</v>
      </c>
      <c r="E102" s="362" t="s">
        <v>477</v>
      </c>
      <c r="F102" s="426" t="s">
        <v>818</v>
      </c>
      <c r="G102" s="363"/>
      <c r="H102" s="363"/>
      <c r="I102" s="364">
        <v>140000</v>
      </c>
      <c r="J102" s="364"/>
    </row>
    <row r="103" spans="2:10" ht="90" x14ac:dyDescent="0.2">
      <c r="B103" s="362" t="s">
        <v>445</v>
      </c>
      <c r="C103" s="362" t="s">
        <v>446</v>
      </c>
      <c r="D103" s="362" t="s">
        <v>444</v>
      </c>
      <c r="E103" s="362" t="s">
        <v>477</v>
      </c>
      <c r="F103" s="426" t="s">
        <v>964</v>
      </c>
      <c r="G103" s="363"/>
      <c r="H103" s="363"/>
      <c r="I103" s="364">
        <v>700000</v>
      </c>
      <c r="J103" s="427"/>
    </row>
    <row r="104" spans="2:10" ht="45" x14ac:dyDescent="0.2">
      <c r="B104" s="342" t="s">
        <v>830</v>
      </c>
      <c r="C104" s="342" t="s">
        <v>559</v>
      </c>
      <c r="D104" s="342" t="s">
        <v>250</v>
      </c>
      <c r="E104" s="342" t="s">
        <v>392</v>
      </c>
      <c r="F104" s="371" t="s">
        <v>2</v>
      </c>
      <c r="G104" s="378" t="s">
        <v>767</v>
      </c>
      <c r="H104" s="378">
        <v>181970000</v>
      </c>
      <c r="I104" s="365">
        <f>((4000000)-4000000+21460000+8818000)+7750000</f>
        <v>38028000</v>
      </c>
      <c r="J104" s="367">
        <f>(96444100-4000000+21460000+8818000+7750000)/H104</f>
        <v>0.71699785678958072</v>
      </c>
    </row>
    <row r="105" spans="2:10" ht="45" x14ac:dyDescent="0.2">
      <c r="B105" s="342" t="s">
        <v>428</v>
      </c>
      <c r="C105" s="342" t="s">
        <v>429</v>
      </c>
      <c r="D105" s="342" t="s">
        <v>431</v>
      </c>
      <c r="E105" s="342" t="s">
        <v>430</v>
      </c>
      <c r="F105" s="378" t="s">
        <v>90</v>
      </c>
      <c r="G105" s="378"/>
      <c r="H105" s="378"/>
      <c r="I105" s="365">
        <f>((82763108-570000)+3345786.63-250000+31-1000000-500000-372000)-3200000</f>
        <v>80216925.629999995</v>
      </c>
      <c r="J105" s="365"/>
    </row>
    <row r="106" spans="2:10" ht="45" x14ac:dyDescent="0.2">
      <c r="B106" s="342" t="s">
        <v>935</v>
      </c>
      <c r="C106" s="342" t="s">
        <v>936</v>
      </c>
      <c r="D106" s="342" t="s">
        <v>431</v>
      </c>
      <c r="E106" s="342" t="s">
        <v>937</v>
      </c>
      <c r="F106" s="378" t="s">
        <v>90</v>
      </c>
      <c r="G106" s="378"/>
      <c r="H106" s="378"/>
      <c r="I106" s="365">
        <v>1400000</v>
      </c>
      <c r="J106" s="365"/>
    </row>
    <row r="107" spans="2:10" ht="15" x14ac:dyDescent="0.2">
      <c r="B107" s="342" t="s">
        <v>432</v>
      </c>
      <c r="C107" s="342" t="s">
        <v>311</v>
      </c>
      <c r="D107" s="342" t="s">
        <v>312</v>
      </c>
      <c r="E107" s="342" t="s">
        <v>67</v>
      </c>
      <c r="F107" s="378" t="s">
        <v>90</v>
      </c>
      <c r="G107" s="378"/>
      <c r="H107" s="378"/>
      <c r="I107" s="365">
        <f>(1000000+250000)-300000</f>
        <v>950000</v>
      </c>
      <c r="J107" s="365"/>
    </row>
    <row r="108" spans="2:10" ht="30" x14ac:dyDescent="0.2">
      <c r="B108" s="342" t="s">
        <v>449</v>
      </c>
      <c r="C108" s="342" t="s">
        <v>287</v>
      </c>
      <c r="D108" s="342" t="s">
        <v>250</v>
      </c>
      <c r="E108" s="342" t="s">
        <v>57</v>
      </c>
      <c r="F108" s="378" t="s">
        <v>80</v>
      </c>
      <c r="G108" s="378"/>
      <c r="H108" s="378"/>
      <c r="I108" s="365">
        <f>SUM(I109:I155)</f>
        <v>49466966.68</v>
      </c>
      <c r="J108" s="365"/>
    </row>
    <row r="109" spans="2:10" ht="90" x14ac:dyDescent="0.2">
      <c r="B109" s="362" t="s">
        <v>449</v>
      </c>
      <c r="C109" s="362" t="s">
        <v>287</v>
      </c>
      <c r="D109" s="362" t="s">
        <v>250</v>
      </c>
      <c r="E109" s="362" t="s">
        <v>57</v>
      </c>
      <c r="F109" s="428" t="s">
        <v>693</v>
      </c>
      <c r="G109" s="363"/>
      <c r="H109" s="363"/>
      <c r="I109" s="364">
        <v>1452515</v>
      </c>
      <c r="J109" s="365"/>
    </row>
    <row r="110" spans="2:10" ht="45" x14ac:dyDescent="0.2">
      <c r="B110" s="362" t="s">
        <v>449</v>
      </c>
      <c r="C110" s="362" t="s">
        <v>287</v>
      </c>
      <c r="D110" s="362" t="s">
        <v>250</v>
      </c>
      <c r="E110" s="362" t="s">
        <v>57</v>
      </c>
      <c r="F110" s="428" t="s">
        <v>730</v>
      </c>
      <c r="G110" s="363"/>
      <c r="H110" s="363"/>
      <c r="I110" s="364">
        <v>131700</v>
      </c>
      <c r="J110" s="365"/>
    </row>
    <row r="111" spans="2:10" ht="45" x14ac:dyDescent="0.2">
      <c r="B111" s="362" t="s">
        <v>449</v>
      </c>
      <c r="C111" s="362" t="s">
        <v>287</v>
      </c>
      <c r="D111" s="362" t="s">
        <v>250</v>
      </c>
      <c r="E111" s="362" t="s">
        <v>57</v>
      </c>
      <c r="F111" s="428" t="s">
        <v>607</v>
      </c>
      <c r="G111" s="363"/>
      <c r="H111" s="363"/>
      <c r="I111" s="364">
        <v>2000000</v>
      </c>
      <c r="J111" s="365"/>
    </row>
    <row r="112" spans="2:10" ht="135" x14ac:dyDescent="0.2">
      <c r="B112" s="362" t="s">
        <v>449</v>
      </c>
      <c r="C112" s="362" t="s">
        <v>287</v>
      </c>
      <c r="D112" s="362" t="s">
        <v>250</v>
      </c>
      <c r="E112" s="362" t="s">
        <v>57</v>
      </c>
      <c r="F112" s="429" t="s">
        <v>819</v>
      </c>
      <c r="G112" s="363"/>
      <c r="H112" s="363"/>
      <c r="I112" s="364">
        <f>419670-419670</f>
        <v>0</v>
      </c>
      <c r="J112" s="365"/>
    </row>
    <row r="113" spans="2:10" ht="135" x14ac:dyDescent="0.2">
      <c r="B113" s="362" t="s">
        <v>449</v>
      </c>
      <c r="C113" s="362" t="s">
        <v>287</v>
      </c>
      <c r="D113" s="362" t="s">
        <v>250</v>
      </c>
      <c r="E113" s="362" t="s">
        <v>57</v>
      </c>
      <c r="F113" s="429" t="s">
        <v>850</v>
      </c>
      <c r="G113" s="363"/>
      <c r="H113" s="363"/>
      <c r="I113" s="364">
        <f>538650-538650</f>
        <v>0</v>
      </c>
      <c r="J113" s="365"/>
    </row>
    <row r="114" spans="2:10" ht="105" x14ac:dyDescent="0.2">
      <c r="B114" s="362" t="s">
        <v>449</v>
      </c>
      <c r="C114" s="362" t="s">
        <v>287</v>
      </c>
      <c r="D114" s="362" t="s">
        <v>250</v>
      </c>
      <c r="E114" s="362" t="s">
        <v>57</v>
      </c>
      <c r="F114" s="429" t="s">
        <v>851</v>
      </c>
      <c r="G114" s="363"/>
      <c r="H114" s="363"/>
      <c r="I114" s="364">
        <f>54106-54106</f>
        <v>0</v>
      </c>
      <c r="J114" s="365"/>
    </row>
    <row r="115" spans="2:10" ht="90" x14ac:dyDescent="0.2">
      <c r="B115" s="362" t="s">
        <v>449</v>
      </c>
      <c r="C115" s="362" t="s">
        <v>287</v>
      </c>
      <c r="D115" s="362" t="s">
        <v>250</v>
      </c>
      <c r="E115" s="362" t="s">
        <v>57</v>
      </c>
      <c r="F115" s="424" t="s">
        <v>988</v>
      </c>
      <c r="G115" s="363"/>
      <c r="H115" s="363"/>
      <c r="I115" s="364">
        <v>72000</v>
      </c>
      <c r="J115" s="364"/>
    </row>
    <row r="116" spans="2:10" ht="75" x14ac:dyDescent="0.2">
      <c r="B116" s="362" t="s">
        <v>449</v>
      </c>
      <c r="C116" s="362" t="s">
        <v>287</v>
      </c>
      <c r="D116" s="362" t="s">
        <v>250</v>
      </c>
      <c r="E116" s="362" t="s">
        <v>57</v>
      </c>
      <c r="F116" s="424" t="s">
        <v>989</v>
      </c>
      <c r="G116" s="363"/>
      <c r="H116" s="363"/>
      <c r="I116" s="364">
        <v>55000</v>
      </c>
      <c r="J116" s="364"/>
    </row>
    <row r="117" spans="2:10" ht="90" x14ac:dyDescent="0.2">
      <c r="B117" s="362" t="s">
        <v>449</v>
      </c>
      <c r="C117" s="362" t="s">
        <v>287</v>
      </c>
      <c r="D117" s="362" t="s">
        <v>250</v>
      </c>
      <c r="E117" s="362" t="s">
        <v>57</v>
      </c>
      <c r="F117" s="424" t="s">
        <v>990</v>
      </c>
      <c r="G117" s="363"/>
      <c r="H117" s="363"/>
      <c r="I117" s="364">
        <v>80000</v>
      </c>
      <c r="J117" s="364"/>
    </row>
    <row r="118" spans="2:10" ht="90" x14ac:dyDescent="0.2">
      <c r="B118" s="362" t="s">
        <v>449</v>
      </c>
      <c r="C118" s="362" t="s">
        <v>287</v>
      </c>
      <c r="D118" s="362" t="s">
        <v>250</v>
      </c>
      <c r="E118" s="362" t="s">
        <v>57</v>
      </c>
      <c r="F118" s="424" t="s">
        <v>1010</v>
      </c>
      <c r="G118" s="363"/>
      <c r="H118" s="363"/>
      <c r="I118" s="364">
        <v>380000</v>
      </c>
      <c r="J118" s="364"/>
    </row>
    <row r="119" spans="2:10" ht="75" x14ac:dyDescent="0.2">
      <c r="B119" s="362" t="s">
        <v>449</v>
      </c>
      <c r="C119" s="362" t="s">
        <v>287</v>
      </c>
      <c r="D119" s="362" t="s">
        <v>250</v>
      </c>
      <c r="E119" s="362" t="s">
        <v>57</v>
      </c>
      <c r="F119" s="424" t="s">
        <v>1011</v>
      </c>
      <c r="G119" s="363"/>
      <c r="H119" s="363"/>
      <c r="I119" s="364">
        <v>365000</v>
      </c>
      <c r="J119" s="364"/>
    </row>
    <row r="120" spans="2:10" ht="75" x14ac:dyDescent="0.2">
      <c r="B120" s="362" t="s">
        <v>449</v>
      </c>
      <c r="C120" s="362" t="s">
        <v>287</v>
      </c>
      <c r="D120" s="362" t="s">
        <v>250</v>
      </c>
      <c r="E120" s="362" t="s">
        <v>57</v>
      </c>
      <c r="F120" s="429" t="s">
        <v>879</v>
      </c>
      <c r="G120" s="363"/>
      <c r="H120" s="363"/>
      <c r="I120" s="364">
        <v>775000</v>
      </c>
      <c r="J120" s="365"/>
    </row>
    <row r="121" spans="2:10" ht="45" x14ac:dyDescent="0.2">
      <c r="B121" s="362" t="s">
        <v>449</v>
      </c>
      <c r="C121" s="362" t="s">
        <v>287</v>
      </c>
      <c r="D121" s="362" t="s">
        <v>250</v>
      </c>
      <c r="E121" s="362" t="s">
        <v>57</v>
      </c>
      <c r="F121" s="429" t="s">
        <v>821</v>
      </c>
      <c r="G121" s="363"/>
      <c r="H121" s="363"/>
      <c r="I121" s="364">
        <f>4000000+7000000</f>
        <v>11000000</v>
      </c>
      <c r="J121" s="365"/>
    </row>
    <row r="122" spans="2:10" ht="69.75" customHeight="1" x14ac:dyDescent="0.2">
      <c r="B122" s="362" t="s">
        <v>449</v>
      </c>
      <c r="C122" s="362" t="s">
        <v>287</v>
      </c>
      <c r="D122" s="362" t="s">
        <v>250</v>
      </c>
      <c r="E122" s="362" t="s">
        <v>57</v>
      </c>
      <c r="F122" s="429" t="s">
        <v>948</v>
      </c>
      <c r="G122" s="363"/>
      <c r="H122" s="363"/>
      <c r="I122" s="364">
        <f>262200-66300</f>
        <v>195900</v>
      </c>
      <c r="J122" s="365"/>
    </row>
    <row r="123" spans="2:10" ht="91.5" customHeight="1" x14ac:dyDescent="0.2">
      <c r="B123" s="362" t="s">
        <v>449</v>
      </c>
      <c r="C123" s="362" t="s">
        <v>287</v>
      </c>
      <c r="D123" s="362" t="s">
        <v>250</v>
      </c>
      <c r="E123" s="362" t="s">
        <v>57</v>
      </c>
      <c r="F123" s="429" t="s">
        <v>890</v>
      </c>
      <c r="G123" s="363"/>
      <c r="H123" s="363"/>
      <c r="I123" s="364">
        <v>180000</v>
      </c>
      <c r="J123" s="365"/>
    </row>
    <row r="124" spans="2:10" ht="60" x14ac:dyDescent="0.2">
      <c r="B124" s="362" t="s">
        <v>449</v>
      </c>
      <c r="C124" s="362" t="s">
        <v>287</v>
      </c>
      <c r="D124" s="362" t="s">
        <v>250</v>
      </c>
      <c r="E124" s="362" t="s">
        <v>57</v>
      </c>
      <c r="F124" s="429" t="s">
        <v>898</v>
      </c>
      <c r="G124" s="363"/>
      <c r="H124" s="363"/>
      <c r="I124" s="364">
        <f>72000</f>
        <v>72000</v>
      </c>
      <c r="J124" s="365"/>
    </row>
    <row r="125" spans="2:10" ht="82.5" customHeight="1" x14ac:dyDescent="0.2">
      <c r="B125" s="362" t="s">
        <v>449</v>
      </c>
      <c r="C125" s="362" t="s">
        <v>287</v>
      </c>
      <c r="D125" s="362" t="s">
        <v>250</v>
      </c>
      <c r="E125" s="362" t="s">
        <v>57</v>
      </c>
      <c r="F125" s="429" t="s">
        <v>965</v>
      </c>
      <c r="G125" s="363"/>
      <c r="H125" s="363"/>
      <c r="I125" s="364">
        <v>66300</v>
      </c>
      <c r="J125" s="365"/>
    </row>
    <row r="126" spans="2:10" ht="60" x14ac:dyDescent="0.2">
      <c r="B126" s="362" t="s">
        <v>449</v>
      </c>
      <c r="C126" s="362" t="s">
        <v>287</v>
      </c>
      <c r="D126" s="362" t="s">
        <v>250</v>
      </c>
      <c r="E126" s="362" t="s">
        <v>57</v>
      </c>
      <c r="F126" s="428" t="s">
        <v>824</v>
      </c>
      <c r="G126" s="363"/>
      <c r="H126" s="363"/>
      <c r="I126" s="364">
        <v>65700</v>
      </c>
      <c r="J126" s="365"/>
    </row>
    <row r="127" spans="2:10" ht="45" x14ac:dyDescent="0.2">
      <c r="B127" s="362" t="s">
        <v>449</v>
      </c>
      <c r="C127" s="362" t="s">
        <v>287</v>
      </c>
      <c r="D127" s="362" t="s">
        <v>250</v>
      </c>
      <c r="E127" s="362" t="s">
        <v>57</v>
      </c>
      <c r="F127" s="428" t="s">
        <v>825</v>
      </c>
      <c r="G127" s="363"/>
      <c r="H127" s="363"/>
      <c r="I127" s="364">
        <v>557370</v>
      </c>
      <c r="J127" s="365"/>
    </row>
    <row r="128" spans="2:10" ht="120" x14ac:dyDescent="0.2">
      <c r="B128" s="362" t="s">
        <v>449</v>
      </c>
      <c r="C128" s="362" t="s">
        <v>287</v>
      </c>
      <c r="D128" s="362" t="s">
        <v>250</v>
      </c>
      <c r="E128" s="362" t="s">
        <v>57</v>
      </c>
      <c r="F128" s="428" t="s">
        <v>881</v>
      </c>
      <c r="G128" s="363"/>
      <c r="H128" s="363"/>
      <c r="I128" s="364">
        <v>400000</v>
      </c>
      <c r="J128" s="365"/>
    </row>
    <row r="129" spans="2:10" ht="135" x14ac:dyDescent="0.2">
      <c r="B129" s="362" t="s">
        <v>449</v>
      </c>
      <c r="C129" s="362" t="s">
        <v>287</v>
      </c>
      <c r="D129" s="362" t="s">
        <v>250</v>
      </c>
      <c r="E129" s="362" t="s">
        <v>57</v>
      </c>
      <c r="F129" s="428" t="s">
        <v>891</v>
      </c>
      <c r="G129" s="363"/>
      <c r="H129" s="363"/>
      <c r="I129" s="364">
        <v>106774</v>
      </c>
      <c r="J129" s="365"/>
    </row>
    <row r="130" spans="2:10" ht="165" x14ac:dyDescent="0.2">
      <c r="B130" s="362" t="s">
        <v>449</v>
      </c>
      <c r="C130" s="362" t="s">
        <v>287</v>
      </c>
      <c r="D130" s="362" t="s">
        <v>250</v>
      </c>
      <c r="E130" s="362" t="s">
        <v>57</v>
      </c>
      <c r="F130" s="428" t="s">
        <v>827</v>
      </c>
      <c r="G130" s="363"/>
      <c r="H130" s="363"/>
      <c r="I130" s="364">
        <v>105773</v>
      </c>
      <c r="J130" s="365"/>
    </row>
    <row r="131" spans="2:10" ht="105" x14ac:dyDescent="0.2">
      <c r="B131" s="362" t="s">
        <v>449</v>
      </c>
      <c r="C131" s="362" t="s">
        <v>287</v>
      </c>
      <c r="D131" s="362" t="s">
        <v>250</v>
      </c>
      <c r="E131" s="362" t="s">
        <v>57</v>
      </c>
      <c r="F131" s="428" t="s">
        <v>897</v>
      </c>
      <c r="G131" s="363"/>
      <c r="H131" s="363"/>
      <c r="I131" s="364">
        <f>250000+300000</f>
        <v>550000</v>
      </c>
      <c r="J131" s="365"/>
    </row>
    <row r="132" spans="2:10" ht="75" x14ac:dyDescent="0.2">
      <c r="B132" s="362" t="s">
        <v>449</v>
      </c>
      <c r="C132" s="362" t="s">
        <v>287</v>
      </c>
      <c r="D132" s="362" t="s">
        <v>250</v>
      </c>
      <c r="E132" s="362" t="s">
        <v>57</v>
      </c>
      <c r="F132" s="429" t="s">
        <v>892</v>
      </c>
      <c r="G132" s="363" t="s">
        <v>740</v>
      </c>
      <c r="H132" s="363">
        <v>4000000</v>
      </c>
      <c r="I132" s="364">
        <v>4000000</v>
      </c>
      <c r="J132" s="367">
        <f>1</f>
        <v>1</v>
      </c>
    </row>
    <row r="133" spans="2:10" ht="105" x14ac:dyDescent="0.2">
      <c r="B133" s="362" t="s">
        <v>449</v>
      </c>
      <c r="C133" s="362" t="s">
        <v>287</v>
      </c>
      <c r="D133" s="362" t="s">
        <v>250</v>
      </c>
      <c r="E133" s="362" t="s">
        <v>57</v>
      </c>
      <c r="F133" s="429" t="s">
        <v>893</v>
      </c>
      <c r="G133" s="363" t="s">
        <v>740</v>
      </c>
      <c r="H133" s="363">
        <v>3200000</v>
      </c>
      <c r="I133" s="364">
        <v>3200000</v>
      </c>
      <c r="J133" s="367">
        <f>1</f>
        <v>1</v>
      </c>
    </row>
    <row r="134" spans="2:10" ht="75" x14ac:dyDescent="0.2">
      <c r="B134" s="362" t="s">
        <v>449</v>
      </c>
      <c r="C134" s="362" t="s">
        <v>287</v>
      </c>
      <c r="D134" s="362" t="s">
        <v>250</v>
      </c>
      <c r="E134" s="362" t="s">
        <v>57</v>
      </c>
      <c r="F134" s="429" t="s">
        <v>826</v>
      </c>
      <c r="G134" s="363" t="s">
        <v>740</v>
      </c>
      <c r="H134" s="363">
        <v>2000000</v>
      </c>
      <c r="I134" s="364">
        <v>2000000</v>
      </c>
      <c r="J134" s="367">
        <f>1</f>
        <v>1</v>
      </c>
    </row>
    <row r="135" spans="2:10" ht="90" x14ac:dyDescent="0.2">
      <c r="B135" s="362" t="s">
        <v>449</v>
      </c>
      <c r="C135" s="362" t="s">
        <v>287</v>
      </c>
      <c r="D135" s="362" t="s">
        <v>250</v>
      </c>
      <c r="E135" s="362" t="s">
        <v>57</v>
      </c>
      <c r="F135" s="428" t="s">
        <v>896</v>
      </c>
      <c r="G135" s="364" t="s">
        <v>768</v>
      </c>
      <c r="H135" s="363">
        <v>12040200</v>
      </c>
      <c r="I135" s="364">
        <f>(3565000)+8475200</f>
        <v>12040200</v>
      </c>
      <c r="J135" s="367">
        <f>1</f>
        <v>1</v>
      </c>
    </row>
    <row r="136" spans="2:10" ht="75" x14ac:dyDescent="0.2">
      <c r="B136" s="362" t="s">
        <v>449</v>
      </c>
      <c r="C136" s="362" t="s">
        <v>287</v>
      </c>
      <c r="D136" s="362" t="s">
        <v>250</v>
      </c>
      <c r="E136" s="362" t="s">
        <v>57</v>
      </c>
      <c r="F136" s="428" t="s">
        <v>955</v>
      </c>
      <c r="G136" s="363" t="s">
        <v>740</v>
      </c>
      <c r="H136" s="363">
        <v>500000</v>
      </c>
      <c r="I136" s="364">
        <v>500000</v>
      </c>
      <c r="J136" s="367">
        <f>1</f>
        <v>1</v>
      </c>
    </row>
    <row r="137" spans="2:10" ht="120" x14ac:dyDescent="0.2">
      <c r="B137" s="362" t="s">
        <v>449</v>
      </c>
      <c r="C137" s="362" t="s">
        <v>287</v>
      </c>
      <c r="D137" s="362" t="s">
        <v>250</v>
      </c>
      <c r="E137" s="362" t="s">
        <v>57</v>
      </c>
      <c r="F137" s="428" t="s">
        <v>694</v>
      </c>
      <c r="G137" s="363" t="s">
        <v>740</v>
      </c>
      <c r="H137" s="363">
        <v>688000</v>
      </c>
      <c r="I137" s="364">
        <f>(300000)+388000-200000</f>
        <v>488000</v>
      </c>
      <c r="J137" s="367">
        <f>1</f>
        <v>1</v>
      </c>
    </row>
    <row r="138" spans="2:10" ht="120" x14ac:dyDescent="0.2">
      <c r="B138" s="362" t="s">
        <v>449</v>
      </c>
      <c r="C138" s="362" t="s">
        <v>287</v>
      </c>
      <c r="D138" s="362" t="s">
        <v>250</v>
      </c>
      <c r="E138" s="362" t="s">
        <v>57</v>
      </c>
      <c r="F138" s="428" t="s">
        <v>737</v>
      </c>
      <c r="G138" s="364" t="s">
        <v>768</v>
      </c>
      <c r="H138" s="363">
        <v>400000</v>
      </c>
      <c r="I138" s="364">
        <v>400000</v>
      </c>
      <c r="J138" s="367">
        <f>1</f>
        <v>1</v>
      </c>
    </row>
    <row r="139" spans="2:10" ht="120" x14ac:dyDescent="0.2">
      <c r="B139" s="362" t="s">
        <v>449</v>
      </c>
      <c r="C139" s="362" t="s">
        <v>287</v>
      </c>
      <c r="D139" s="362" t="s">
        <v>250</v>
      </c>
      <c r="E139" s="362" t="s">
        <v>57</v>
      </c>
      <c r="F139" s="428" t="s">
        <v>738</v>
      </c>
      <c r="G139" s="363" t="s">
        <v>740</v>
      </c>
      <c r="H139" s="363">
        <v>265200</v>
      </c>
      <c r="I139" s="364">
        <v>265200</v>
      </c>
      <c r="J139" s="367">
        <f>1</f>
        <v>1</v>
      </c>
    </row>
    <row r="140" spans="2:10" ht="90" x14ac:dyDescent="0.2">
      <c r="B140" s="362" t="s">
        <v>449</v>
      </c>
      <c r="C140" s="362" t="s">
        <v>287</v>
      </c>
      <c r="D140" s="362" t="s">
        <v>250</v>
      </c>
      <c r="E140" s="362" t="s">
        <v>57</v>
      </c>
      <c r="F140" s="429" t="s">
        <v>894</v>
      </c>
      <c r="G140" s="363" t="s">
        <v>740</v>
      </c>
      <c r="H140" s="363">
        <v>764842</v>
      </c>
      <c r="I140" s="364">
        <v>764842</v>
      </c>
      <c r="J140" s="367">
        <f>1</f>
        <v>1</v>
      </c>
    </row>
    <row r="141" spans="2:10" ht="90" x14ac:dyDescent="0.2">
      <c r="B141" s="362" t="s">
        <v>449</v>
      </c>
      <c r="C141" s="362" t="s">
        <v>287</v>
      </c>
      <c r="D141" s="362" t="s">
        <v>250</v>
      </c>
      <c r="E141" s="362" t="s">
        <v>57</v>
      </c>
      <c r="F141" s="429" t="s">
        <v>895</v>
      </c>
      <c r="G141" s="363" t="s">
        <v>740</v>
      </c>
      <c r="H141" s="363">
        <v>920000</v>
      </c>
      <c r="I141" s="364">
        <v>920000</v>
      </c>
      <c r="J141" s="367">
        <f>1</f>
        <v>1</v>
      </c>
    </row>
    <row r="142" spans="2:10" ht="75" x14ac:dyDescent="0.2">
      <c r="B142" s="362" t="s">
        <v>449</v>
      </c>
      <c r="C142" s="362" t="s">
        <v>287</v>
      </c>
      <c r="D142" s="362" t="s">
        <v>250</v>
      </c>
      <c r="E142" s="362" t="s">
        <v>57</v>
      </c>
      <c r="F142" s="429" t="s">
        <v>833</v>
      </c>
      <c r="G142" s="364" t="s">
        <v>681</v>
      </c>
      <c r="H142" s="363">
        <v>11775785</v>
      </c>
      <c r="I142" s="364">
        <v>500000</v>
      </c>
      <c r="J142" s="367">
        <v>0.52</v>
      </c>
    </row>
    <row r="143" spans="2:10" ht="135" x14ac:dyDescent="0.2">
      <c r="B143" s="362" t="s">
        <v>449</v>
      </c>
      <c r="C143" s="362" t="s">
        <v>287</v>
      </c>
      <c r="D143" s="362" t="s">
        <v>250</v>
      </c>
      <c r="E143" s="362" t="s">
        <v>57</v>
      </c>
      <c r="F143" s="429" t="s">
        <v>832</v>
      </c>
      <c r="G143" s="364" t="s">
        <v>681</v>
      </c>
      <c r="H143" s="363">
        <v>12460382</v>
      </c>
      <c r="I143" s="364">
        <v>2500000</v>
      </c>
      <c r="J143" s="367">
        <v>0.66500000000000004</v>
      </c>
    </row>
    <row r="144" spans="2:10" ht="90" x14ac:dyDescent="0.2">
      <c r="B144" s="362" t="s">
        <v>449</v>
      </c>
      <c r="C144" s="362" t="s">
        <v>287</v>
      </c>
      <c r="D144" s="362" t="s">
        <v>250</v>
      </c>
      <c r="E144" s="362" t="s">
        <v>57</v>
      </c>
      <c r="F144" s="429" t="s">
        <v>1013</v>
      </c>
      <c r="G144" s="364" t="s">
        <v>805</v>
      </c>
      <c r="H144" s="363">
        <v>1201688</v>
      </c>
      <c r="I144" s="364">
        <v>310000</v>
      </c>
      <c r="J144" s="367">
        <v>0.26</v>
      </c>
    </row>
    <row r="145" spans="1:11" ht="105" x14ac:dyDescent="0.2">
      <c r="B145" s="362" t="s">
        <v>449</v>
      </c>
      <c r="C145" s="362" t="s">
        <v>287</v>
      </c>
      <c r="D145" s="362" t="s">
        <v>250</v>
      </c>
      <c r="E145" s="362" t="s">
        <v>57</v>
      </c>
      <c r="F145" s="429" t="s">
        <v>864</v>
      </c>
      <c r="G145" s="363" t="s">
        <v>740</v>
      </c>
      <c r="H145" s="363">
        <v>92967</v>
      </c>
      <c r="I145" s="364">
        <v>92967</v>
      </c>
      <c r="J145" s="367">
        <v>1</v>
      </c>
    </row>
    <row r="146" spans="1:11" ht="90" x14ac:dyDescent="0.2">
      <c r="B146" s="362" t="s">
        <v>449</v>
      </c>
      <c r="C146" s="362" t="s">
        <v>287</v>
      </c>
      <c r="D146" s="362" t="s">
        <v>250</v>
      </c>
      <c r="E146" s="362" t="s">
        <v>57</v>
      </c>
      <c r="F146" s="429" t="s">
        <v>831</v>
      </c>
      <c r="G146" s="364" t="s">
        <v>768</v>
      </c>
      <c r="H146" s="363">
        <v>1402143</v>
      </c>
      <c r="I146" s="364">
        <v>395000</v>
      </c>
      <c r="J146" s="367">
        <v>0.92</v>
      </c>
    </row>
    <row r="147" spans="1:11" ht="90" x14ac:dyDescent="0.2">
      <c r="B147" s="362" t="s">
        <v>449</v>
      </c>
      <c r="C147" s="362" t="s">
        <v>287</v>
      </c>
      <c r="D147" s="362" t="s">
        <v>250</v>
      </c>
      <c r="E147" s="362" t="s">
        <v>57</v>
      </c>
      <c r="F147" s="429" t="s">
        <v>949</v>
      </c>
      <c r="G147" s="363" t="s">
        <v>740</v>
      </c>
      <c r="H147" s="363">
        <v>50000</v>
      </c>
      <c r="I147" s="364">
        <v>50000</v>
      </c>
      <c r="J147" s="367">
        <v>1</v>
      </c>
    </row>
    <row r="148" spans="1:11" ht="90" x14ac:dyDescent="0.2">
      <c r="B148" s="362" t="s">
        <v>449</v>
      </c>
      <c r="C148" s="362" t="s">
        <v>287</v>
      </c>
      <c r="D148" s="362" t="s">
        <v>250</v>
      </c>
      <c r="E148" s="362" t="s">
        <v>57</v>
      </c>
      <c r="F148" s="430" t="s">
        <v>957</v>
      </c>
      <c r="G148" s="363" t="s">
        <v>740</v>
      </c>
      <c r="H148" s="363">
        <v>55000</v>
      </c>
      <c r="I148" s="364">
        <v>55000</v>
      </c>
      <c r="J148" s="367">
        <v>1</v>
      </c>
    </row>
    <row r="149" spans="1:11" ht="75" x14ac:dyDescent="0.2">
      <c r="B149" s="362" t="s">
        <v>449</v>
      </c>
      <c r="C149" s="362" t="s">
        <v>287</v>
      </c>
      <c r="D149" s="362" t="s">
        <v>250</v>
      </c>
      <c r="E149" s="362" t="s">
        <v>57</v>
      </c>
      <c r="F149" s="430" t="s">
        <v>950</v>
      </c>
      <c r="G149" s="364" t="s">
        <v>681</v>
      </c>
      <c r="H149" s="363">
        <v>1499915</v>
      </c>
      <c r="I149" s="364">
        <v>469200</v>
      </c>
      <c r="J149" s="367">
        <v>0.69</v>
      </c>
    </row>
    <row r="150" spans="1:11" ht="75" x14ac:dyDescent="0.2">
      <c r="B150" s="362" t="s">
        <v>449</v>
      </c>
      <c r="C150" s="362" t="s">
        <v>287</v>
      </c>
      <c r="D150" s="362" t="s">
        <v>250</v>
      </c>
      <c r="E150" s="362" t="s">
        <v>57</v>
      </c>
      <c r="F150" s="430" t="s">
        <v>822</v>
      </c>
      <c r="G150" s="363" t="s">
        <v>740</v>
      </c>
      <c r="H150" s="363">
        <v>289003</v>
      </c>
      <c r="I150" s="364">
        <v>289003</v>
      </c>
      <c r="J150" s="367">
        <v>1</v>
      </c>
    </row>
    <row r="151" spans="1:11" ht="75" x14ac:dyDescent="0.2">
      <c r="B151" s="362" t="s">
        <v>449</v>
      </c>
      <c r="C151" s="362" t="s">
        <v>287</v>
      </c>
      <c r="D151" s="362" t="s">
        <v>250</v>
      </c>
      <c r="E151" s="362" t="s">
        <v>57</v>
      </c>
      <c r="F151" s="430" t="s">
        <v>823</v>
      </c>
      <c r="G151" s="363" t="s">
        <v>740</v>
      </c>
      <c r="H151" s="363">
        <v>275194</v>
      </c>
      <c r="I151" s="364">
        <v>275194</v>
      </c>
      <c r="J151" s="367">
        <v>1</v>
      </c>
    </row>
    <row r="152" spans="1:11" ht="75" x14ac:dyDescent="0.2">
      <c r="B152" s="362" t="s">
        <v>449</v>
      </c>
      <c r="C152" s="362" t="s">
        <v>287</v>
      </c>
      <c r="D152" s="362" t="s">
        <v>250</v>
      </c>
      <c r="E152" s="362" t="s">
        <v>57</v>
      </c>
      <c r="F152" s="430" t="s">
        <v>907</v>
      </c>
      <c r="G152" s="363" t="s">
        <v>768</v>
      </c>
      <c r="H152" s="363">
        <v>4997108</v>
      </c>
      <c r="I152" s="364">
        <v>500000</v>
      </c>
      <c r="J152" s="427">
        <v>1</v>
      </c>
    </row>
    <row r="153" spans="1:11" ht="135" x14ac:dyDescent="0.2">
      <c r="A153" s="135"/>
      <c r="B153" s="362" t="s">
        <v>449</v>
      </c>
      <c r="C153" s="362" t="s">
        <v>287</v>
      </c>
      <c r="D153" s="362" t="s">
        <v>250</v>
      </c>
      <c r="E153" s="362" t="s">
        <v>57</v>
      </c>
      <c r="F153" s="366" t="s">
        <v>908</v>
      </c>
      <c r="G153" s="363" t="s">
        <v>768</v>
      </c>
      <c r="H153" s="363">
        <f>3200000+3385670</f>
        <v>6585670</v>
      </c>
      <c r="I153" s="364">
        <v>91328.68</v>
      </c>
      <c r="J153" s="427">
        <v>1</v>
      </c>
    </row>
    <row r="154" spans="1:11" ht="142.5" customHeight="1" x14ac:dyDescent="0.2">
      <c r="A154" s="135"/>
      <c r="B154" s="362" t="s">
        <v>449</v>
      </c>
      <c r="C154" s="362" t="s">
        <v>287</v>
      </c>
      <c r="D154" s="362" t="s">
        <v>250</v>
      </c>
      <c r="E154" s="362" t="s">
        <v>57</v>
      </c>
      <c r="F154" s="366" t="s">
        <v>913</v>
      </c>
      <c r="G154" s="363" t="s">
        <v>805</v>
      </c>
      <c r="H154" s="363">
        <v>1260727</v>
      </c>
      <c r="I154" s="364">
        <v>300000</v>
      </c>
      <c r="J154" s="367">
        <f>(I154)/H154</f>
        <v>0.23795794014088698</v>
      </c>
    </row>
    <row r="155" spans="1:11" ht="142.5" customHeight="1" x14ac:dyDescent="0.2">
      <c r="A155" s="135"/>
      <c r="B155" s="362" t="s">
        <v>449</v>
      </c>
      <c r="C155" s="362" t="s">
        <v>287</v>
      </c>
      <c r="D155" s="362" t="s">
        <v>250</v>
      </c>
      <c r="E155" s="362" t="s">
        <v>57</v>
      </c>
      <c r="F155" s="366" t="s">
        <v>1012</v>
      </c>
      <c r="G155" s="363"/>
      <c r="H155" s="363"/>
      <c r="I155" s="364">
        <v>450000</v>
      </c>
      <c r="J155" s="367"/>
    </row>
    <row r="156" spans="1:11" ht="75" x14ac:dyDescent="0.2">
      <c r="B156" s="401" t="s">
        <v>44</v>
      </c>
      <c r="C156" s="401"/>
      <c r="D156" s="401"/>
      <c r="E156" s="401" t="s">
        <v>619</v>
      </c>
      <c r="F156" s="401"/>
      <c r="G156" s="401"/>
      <c r="H156" s="401"/>
      <c r="I156" s="403">
        <f>I157</f>
        <v>114848560</v>
      </c>
      <c r="J156" s="401"/>
    </row>
    <row r="157" spans="1:11" ht="85.7" customHeight="1" x14ac:dyDescent="0.2">
      <c r="A157" s="236"/>
      <c r="B157" s="402" t="s">
        <v>45</v>
      </c>
      <c r="C157" s="402"/>
      <c r="D157" s="402"/>
      <c r="E157" s="402" t="s">
        <v>618</v>
      </c>
      <c r="F157" s="402"/>
      <c r="G157" s="402"/>
      <c r="H157" s="402"/>
      <c r="I157" s="404">
        <f>SUM(I158:I178)</f>
        <v>114848560</v>
      </c>
      <c r="J157" s="402"/>
    </row>
    <row r="158" spans="1:11" ht="45" x14ac:dyDescent="0.2">
      <c r="A158" s="423"/>
      <c r="B158" s="342" t="s">
        <v>713</v>
      </c>
      <c r="C158" s="342" t="s">
        <v>335</v>
      </c>
      <c r="D158" s="342" t="s">
        <v>333</v>
      </c>
      <c r="E158" s="342" t="s">
        <v>334</v>
      </c>
      <c r="F158" s="378" t="s">
        <v>90</v>
      </c>
      <c r="G158" s="423"/>
      <c r="H158" s="423"/>
      <c r="I158" s="365">
        <f>((10400)+7480)-3820</f>
        <v>14060</v>
      </c>
      <c r="J158" s="423"/>
    </row>
    <row r="159" spans="1:11" ht="75" x14ac:dyDescent="0.2">
      <c r="A159" s="236"/>
      <c r="B159" s="342" t="s">
        <v>808</v>
      </c>
      <c r="C159" s="342" t="s">
        <v>810</v>
      </c>
      <c r="D159" s="342" t="s">
        <v>285</v>
      </c>
      <c r="E159" s="342" t="s">
        <v>809</v>
      </c>
      <c r="F159" s="371" t="s">
        <v>991</v>
      </c>
      <c r="G159" s="365" t="s">
        <v>771</v>
      </c>
      <c r="H159" s="365">
        <f>282861499</f>
        <v>282861499</v>
      </c>
      <c r="I159" s="365">
        <f>(4500000)+4000000+19787000-12500000+27000000+3500000</f>
        <v>46287000</v>
      </c>
      <c r="J159" s="367">
        <f>(7688.93+54000000+1828602.38+4500000+4000000+19787000+27000000-12500000+3500000)/H159</f>
        <v>0.36103637883217188</v>
      </c>
    </row>
    <row r="160" spans="1:11" ht="60" x14ac:dyDescent="0.2">
      <c r="B160" s="342" t="s">
        <v>463</v>
      </c>
      <c r="C160" s="342" t="s">
        <v>464</v>
      </c>
      <c r="D160" s="342" t="s">
        <v>444</v>
      </c>
      <c r="E160" s="342" t="s">
        <v>462</v>
      </c>
      <c r="F160" s="372" t="s">
        <v>3</v>
      </c>
      <c r="G160" s="373" t="s">
        <v>768</v>
      </c>
      <c r="H160" s="373">
        <v>30010059</v>
      </c>
      <c r="I160" s="373">
        <f>(3500000)+2000000-2600000+1000000+1500000</f>
        <v>5400000</v>
      </c>
      <c r="J160" s="374">
        <f>(2087700+4693311.43+3500000+2000000-2600000+1200000+1500000)/H160</f>
        <v>0.41256204894498871</v>
      </c>
      <c r="K160" s="113"/>
    </row>
    <row r="161" spans="2:11" ht="75" x14ac:dyDescent="0.2">
      <c r="B161" s="342" t="s">
        <v>463</v>
      </c>
      <c r="C161" s="342" t="s">
        <v>464</v>
      </c>
      <c r="D161" s="342" t="s">
        <v>444</v>
      </c>
      <c r="E161" s="342" t="s">
        <v>462</v>
      </c>
      <c r="F161" s="372" t="s">
        <v>604</v>
      </c>
      <c r="G161" s="373" t="s">
        <v>770</v>
      </c>
      <c r="H161" s="373">
        <f>30737344</f>
        <v>30737344</v>
      </c>
      <c r="I161" s="373">
        <f>4000000+1200000+500000+850000</f>
        <v>6550000</v>
      </c>
      <c r="J161" s="374">
        <f>(4471266+6488967.58+4000000+1200000+500000+850000)/H161</f>
        <v>0.56967295482654579</v>
      </c>
      <c r="K161" s="113"/>
    </row>
    <row r="162" spans="2:11" ht="75" x14ac:dyDescent="0.2">
      <c r="B162" s="342" t="s">
        <v>463</v>
      </c>
      <c r="C162" s="342" t="s">
        <v>464</v>
      </c>
      <c r="D162" s="342" t="s">
        <v>444</v>
      </c>
      <c r="E162" s="342" t="s">
        <v>462</v>
      </c>
      <c r="F162" s="372" t="s">
        <v>620</v>
      </c>
      <c r="G162" s="365" t="s">
        <v>771</v>
      </c>
      <c r="H162" s="365">
        <f>9300000+10829899</f>
        <v>20129899</v>
      </c>
      <c r="I162" s="365">
        <f>(1500000)+1000000+900000+1350000</f>
        <v>4750000</v>
      </c>
      <c r="J162" s="367">
        <f>(300094.58+1500000+1000000+900000+1350000)/H162</f>
        <v>0.25087530642851213</v>
      </c>
      <c r="K162" s="113"/>
    </row>
    <row r="163" spans="2:11" ht="90" x14ac:dyDescent="0.2">
      <c r="B163" s="342" t="s">
        <v>463</v>
      </c>
      <c r="C163" s="342" t="s">
        <v>464</v>
      </c>
      <c r="D163" s="342" t="s">
        <v>444</v>
      </c>
      <c r="E163" s="342" t="s">
        <v>462</v>
      </c>
      <c r="F163" s="372" t="s">
        <v>992</v>
      </c>
      <c r="G163" s="365" t="s">
        <v>768</v>
      </c>
      <c r="H163" s="365">
        <f>8700000+6796500</f>
        <v>15496500</v>
      </c>
      <c r="I163" s="365">
        <f>4000000+1200000+2500000</f>
        <v>7700000</v>
      </c>
      <c r="J163" s="367">
        <f>(938042.78+4000000+1200000+2500000)/H163</f>
        <v>0.5574189513761173</v>
      </c>
      <c r="K163" s="113"/>
    </row>
    <row r="164" spans="2:11" ht="75" x14ac:dyDescent="0.2">
      <c r="B164" s="342" t="s">
        <v>463</v>
      </c>
      <c r="C164" s="342" t="s">
        <v>464</v>
      </c>
      <c r="D164" s="342" t="s">
        <v>444</v>
      </c>
      <c r="E164" s="342" t="s">
        <v>462</v>
      </c>
      <c r="F164" s="375" t="s">
        <v>811</v>
      </c>
      <c r="G164" s="365" t="s">
        <v>768</v>
      </c>
      <c r="H164" s="373">
        <v>8518729</v>
      </c>
      <c r="I164" s="365">
        <f>1700000-220000</f>
        <v>1480000</v>
      </c>
      <c r="J164" s="367">
        <v>1</v>
      </c>
      <c r="K164" s="113"/>
    </row>
    <row r="165" spans="2:11" ht="60" x14ac:dyDescent="0.2">
      <c r="B165" s="342" t="s">
        <v>465</v>
      </c>
      <c r="C165" s="342" t="s">
        <v>466</v>
      </c>
      <c r="D165" s="342" t="s">
        <v>444</v>
      </c>
      <c r="E165" s="342" t="s">
        <v>467</v>
      </c>
      <c r="F165" s="376" t="s">
        <v>812</v>
      </c>
      <c r="G165" s="365" t="s">
        <v>878</v>
      </c>
      <c r="H165" s="373">
        <v>291782434</v>
      </c>
      <c r="I165" s="373">
        <f>900000-900000+450000</f>
        <v>450000</v>
      </c>
      <c r="J165" s="367">
        <f>(503989.26+900000-900000+450000)/H165</f>
        <v>3.2695225923024549E-3</v>
      </c>
      <c r="K165" s="113"/>
    </row>
    <row r="166" spans="2:11" ht="75" x14ac:dyDescent="0.2">
      <c r="B166" s="342" t="s">
        <v>465</v>
      </c>
      <c r="C166" s="342" t="s">
        <v>466</v>
      </c>
      <c r="D166" s="342" t="s">
        <v>444</v>
      </c>
      <c r="E166" s="342" t="s">
        <v>467</v>
      </c>
      <c r="F166" s="372" t="s">
        <v>813</v>
      </c>
      <c r="G166" s="365" t="s">
        <v>993</v>
      </c>
      <c r="H166" s="365">
        <v>114917587</v>
      </c>
      <c r="I166" s="365">
        <f>500000-450000</f>
        <v>50000</v>
      </c>
      <c r="J166" s="367">
        <f>(730683.68+500000-450000)/H166</f>
        <v>6.7934221417301445E-3</v>
      </c>
      <c r="K166" s="113"/>
    </row>
    <row r="167" spans="2:11" ht="75" x14ac:dyDescent="0.2">
      <c r="B167" s="342" t="s">
        <v>468</v>
      </c>
      <c r="C167" s="342" t="s">
        <v>469</v>
      </c>
      <c r="D167" s="342" t="s">
        <v>444</v>
      </c>
      <c r="E167" s="342" t="s">
        <v>815</v>
      </c>
      <c r="F167" s="372" t="s">
        <v>610</v>
      </c>
      <c r="G167" s="373" t="s">
        <v>772</v>
      </c>
      <c r="H167" s="373">
        <v>43701696</v>
      </c>
      <c r="I167" s="373">
        <f>2000000-500000</f>
        <v>1500000</v>
      </c>
      <c r="J167" s="374">
        <f>(7993500+6993235.68+2000000-500000)/H167</f>
        <v>0.37725619802032395</v>
      </c>
      <c r="K167" s="113"/>
    </row>
    <row r="168" spans="2:11" ht="45" x14ac:dyDescent="0.2">
      <c r="B168" s="342" t="s">
        <v>468</v>
      </c>
      <c r="C168" s="342" t="s">
        <v>469</v>
      </c>
      <c r="D168" s="342" t="s">
        <v>444</v>
      </c>
      <c r="E168" s="342" t="s">
        <v>815</v>
      </c>
      <c r="F168" s="372" t="s">
        <v>605</v>
      </c>
      <c r="G168" s="373" t="s">
        <v>768</v>
      </c>
      <c r="H168" s="373">
        <v>32296985</v>
      </c>
      <c r="I168" s="373">
        <f>5000000+5500000-507000</f>
        <v>9993000</v>
      </c>
      <c r="J168" s="374">
        <f>(209619.53+7983885.65+5000000+5500000-507000)/H168</f>
        <v>0.56310225799714742</v>
      </c>
      <c r="K168" s="113"/>
    </row>
    <row r="169" spans="2:11" ht="75" x14ac:dyDescent="0.2">
      <c r="B169" s="342" t="s">
        <v>468</v>
      </c>
      <c r="C169" s="342" t="s">
        <v>469</v>
      </c>
      <c r="D169" s="342" t="s">
        <v>444</v>
      </c>
      <c r="E169" s="342" t="s">
        <v>815</v>
      </c>
      <c r="F169" s="372" t="s">
        <v>606</v>
      </c>
      <c r="G169" s="373" t="s">
        <v>768</v>
      </c>
      <c r="H169" s="373">
        <v>10111100</v>
      </c>
      <c r="I169" s="373">
        <f>(2000000)+1467500-1000000</f>
        <v>2467500</v>
      </c>
      <c r="J169" s="374">
        <f>(2190500+2453085.2+2000000+1467500-1000000)/H169</f>
        <v>0.70329491351089402</v>
      </c>
      <c r="K169" s="113"/>
    </row>
    <row r="170" spans="2:11" ht="45" x14ac:dyDescent="0.2">
      <c r="B170" s="342" t="s">
        <v>468</v>
      </c>
      <c r="C170" s="342" t="s">
        <v>469</v>
      </c>
      <c r="D170" s="342" t="s">
        <v>444</v>
      </c>
      <c r="E170" s="342" t="s">
        <v>815</v>
      </c>
      <c r="F170" s="377" t="s">
        <v>912</v>
      </c>
      <c r="G170" s="365" t="s">
        <v>773</v>
      </c>
      <c r="H170" s="373">
        <v>15977719</v>
      </c>
      <c r="I170" s="373">
        <f>2000000-1000000+1000000-993000</f>
        <v>1007000</v>
      </c>
      <c r="J170" s="374">
        <f>(1286200+939873.25+2000000-1000000+1000000-993000)/H170</f>
        <v>0.20234886156152829</v>
      </c>
      <c r="K170" s="113"/>
    </row>
    <row r="171" spans="2:11" ht="75" x14ac:dyDescent="0.2">
      <c r="B171" s="342" t="s">
        <v>468</v>
      </c>
      <c r="C171" s="342" t="s">
        <v>469</v>
      </c>
      <c r="D171" s="342" t="s">
        <v>444</v>
      </c>
      <c r="E171" s="342" t="s">
        <v>815</v>
      </c>
      <c r="F171" s="372" t="s">
        <v>611</v>
      </c>
      <c r="G171" s="373"/>
      <c r="H171" s="363"/>
      <c r="I171" s="373">
        <f>100000-100000</f>
        <v>0</v>
      </c>
      <c r="J171" s="374"/>
      <c r="K171" s="113"/>
    </row>
    <row r="172" spans="2:11" ht="60" x14ac:dyDescent="0.2">
      <c r="B172" s="342" t="s">
        <v>468</v>
      </c>
      <c r="C172" s="342" t="s">
        <v>469</v>
      </c>
      <c r="D172" s="342" t="s">
        <v>444</v>
      </c>
      <c r="E172" s="342" t="s">
        <v>815</v>
      </c>
      <c r="F172" s="372" t="s">
        <v>613</v>
      </c>
      <c r="G172" s="373"/>
      <c r="H172" s="363"/>
      <c r="I172" s="373">
        <f>100000-100000</f>
        <v>0</v>
      </c>
      <c r="J172" s="374"/>
      <c r="K172" s="113"/>
    </row>
    <row r="173" spans="2:11" ht="75" x14ac:dyDescent="0.2">
      <c r="B173" s="342" t="s">
        <v>468</v>
      </c>
      <c r="C173" s="342" t="s">
        <v>469</v>
      </c>
      <c r="D173" s="342" t="s">
        <v>444</v>
      </c>
      <c r="E173" s="342" t="s">
        <v>815</v>
      </c>
      <c r="F173" s="372" t="s">
        <v>614</v>
      </c>
      <c r="G173" s="373"/>
      <c r="H173" s="363"/>
      <c r="I173" s="373">
        <f>100000-100000</f>
        <v>0</v>
      </c>
      <c r="J173" s="374"/>
      <c r="K173" s="113"/>
    </row>
    <row r="174" spans="2:11" ht="90" x14ac:dyDescent="0.2">
      <c r="B174" s="342" t="s">
        <v>468</v>
      </c>
      <c r="C174" s="342" t="s">
        <v>469</v>
      </c>
      <c r="D174" s="342" t="s">
        <v>444</v>
      </c>
      <c r="E174" s="342" t="s">
        <v>815</v>
      </c>
      <c r="F174" s="377" t="s">
        <v>675</v>
      </c>
      <c r="G174" s="373"/>
      <c r="H174" s="373"/>
      <c r="I174" s="373">
        <f>100000-50000-50000</f>
        <v>0</v>
      </c>
      <c r="J174" s="374"/>
      <c r="K174" s="113"/>
    </row>
    <row r="175" spans="2:11" ht="90" x14ac:dyDescent="0.2">
      <c r="B175" s="342" t="s">
        <v>468</v>
      </c>
      <c r="C175" s="342" t="s">
        <v>469</v>
      </c>
      <c r="D175" s="342" t="s">
        <v>444</v>
      </c>
      <c r="E175" s="342" t="s">
        <v>815</v>
      </c>
      <c r="F175" s="377" t="s">
        <v>589</v>
      </c>
      <c r="G175" s="373"/>
      <c r="H175" s="363"/>
      <c r="I175" s="373">
        <f>100000-100000</f>
        <v>0</v>
      </c>
      <c r="J175" s="374"/>
      <c r="K175" s="113"/>
    </row>
    <row r="176" spans="2:11" ht="60" x14ac:dyDescent="0.2">
      <c r="B176" s="342" t="s">
        <v>468</v>
      </c>
      <c r="C176" s="342" t="s">
        <v>469</v>
      </c>
      <c r="D176" s="342" t="s">
        <v>444</v>
      </c>
      <c r="E176" s="342" t="s">
        <v>815</v>
      </c>
      <c r="F176" s="377" t="s">
        <v>814</v>
      </c>
      <c r="G176" s="373" t="s">
        <v>768</v>
      </c>
      <c r="H176" s="378">
        <v>977031</v>
      </c>
      <c r="I176" s="373">
        <f>198700-198700</f>
        <v>0</v>
      </c>
      <c r="J176" s="374">
        <f>(778322.63+198700-198700)/H176</f>
        <v>0.79662019935907868</v>
      </c>
    </row>
    <row r="177" spans="1:10" ht="45" x14ac:dyDescent="0.2">
      <c r="B177" s="342" t="s">
        <v>903</v>
      </c>
      <c r="C177" s="342" t="s">
        <v>559</v>
      </c>
      <c r="D177" s="342" t="s">
        <v>444</v>
      </c>
      <c r="E177" s="342" t="s">
        <v>462</v>
      </c>
      <c r="F177" s="372" t="s">
        <v>603</v>
      </c>
      <c r="G177" s="373" t="s">
        <v>768</v>
      </c>
      <c r="H177" s="373">
        <v>30084395</v>
      </c>
      <c r="I177" s="373">
        <f>(4000000)+2000000-1000000+1200000+2000000+1500000</f>
        <v>9700000</v>
      </c>
      <c r="J177" s="374">
        <f>(391733+4041104.35+4000000+2000000+2000000-1000000+1200000+1500000)/H177</f>
        <v>0.46977302850863378</v>
      </c>
    </row>
    <row r="178" spans="1:10" ht="45" x14ac:dyDescent="0.2">
      <c r="B178" s="342" t="s">
        <v>903</v>
      </c>
      <c r="C178" s="342" t="s">
        <v>559</v>
      </c>
      <c r="D178" s="342" t="s">
        <v>250</v>
      </c>
      <c r="E178" s="342" t="s">
        <v>392</v>
      </c>
      <c r="F178" s="379" t="s">
        <v>609</v>
      </c>
      <c r="G178" s="373" t="s">
        <v>769</v>
      </c>
      <c r="H178" s="373">
        <v>160515935</v>
      </c>
      <c r="I178" s="373">
        <f>20000000+5000000+1000000-5000000-5500000+2000000</f>
        <v>17500000</v>
      </c>
      <c r="J178" s="374">
        <f>(38829200+34763964.93+20000000+5000000+1000000-5000000-5500000+2000000)/H178</f>
        <v>0.56750231638995852</v>
      </c>
    </row>
    <row r="179" spans="1:10" ht="75" x14ac:dyDescent="0.2">
      <c r="B179" s="401" t="s">
        <v>240</v>
      </c>
      <c r="C179" s="401"/>
      <c r="D179" s="401"/>
      <c r="E179" s="401" t="s">
        <v>836</v>
      </c>
      <c r="F179" s="401"/>
      <c r="G179" s="401"/>
      <c r="H179" s="401"/>
      <c r="I179" s="403">
        <f>I180</f>
        <v>108400</v>
      </c>
      <c r="J179" s="401"/>
    </row>
    <row r="180" spans="1:10" ht="85.5" x14ac:dyDescent="0.2">
      <c r="B180" s="402" t="s">
        <v>241</v>
      </c>
      <c r="C180" s="402"/>
      <c r="D180" s="402"/>
      <c r="E180" s="402" t="s">
        <v>837</v>
      </c>
      <c r="F180" s="402"/>
      <c r="G180" s="402"/>
      <c r="H180" s="402"/>
      <c r="I180" s="404">
        <f>SUM(I181:I185)</f>
        <v>108400</v>
      </c>
      <c r="J180" s="402"/>
    </row>
    <row r="181" spans="1:10" ht="60" hidden="1" customHeight="1" x14ac:dyDescent="0.2">
      <c r="B181" s="284" t="s">
        <v>454</v>
      </c>
      <c r="C181" s="284" t="s">
        <v>455</v>
      </c>
      <c r="D181" s="284" t="s">
        <v>444</v>
      </c>
      <c r="E181" s="284" t="s">
        <v>456</v>
      </c>
      <c r="F181" s="286" t="s">
        <v>594</v>
      </c>
      <c r="G181" s="285"/>
      <c r="H181" s="285"/>
      <c r="I181" s="287">
        <f>(2376000)-2376000</f>
        <v>0</v>
      </c>
      <c r="J181" s="287"/>
    </row>
    <row r="182" spans="1:10" ht="30" hidden="1" x14ac:dyDescent="0.2">
      <c r="B182" s="284" t="s">
        <v>454</v>
      </c>
      <c r="C182" s="284" t="s">
        <v>455</v>
      </c>
      <c r="D182" s="284" t="s">
        <v>444</v>
      </c>
      <c r="E182" s="284" t="s">
        <v>456</v>
      </c>
      <c r="F182" s="286" t="s">
        <v>739</v>
      </c>
      <c r="G182" s="285"/>
      <c r="H182" s="285"/>
      <c r="I182" s="287">
        <f>(500000)-500000</f>
        <v>0</v>
      </c>
      <c r="J182" s="287"/>
    </row>
    <row r="183" spans="1:10" ht="45" x14ac:dyDescent="0.2">
      <c r="B183" s="342" t="s">
        <v>715</v>
      </c>
      <c r="C183" s="342" t="s">
        <v>335</v>
      </c>
      <c r="D183" s="342" t="s">
        <v>333</v>
      </c>
      <c r="E183" s="342" t="s">
        <v>334</v>
      </c>
      <c r="F183" s="378" t="s">
        <v>90</v>
      </c>
      <c r="G183" s="378"/>
      <c r="H183" s="378"/>
      <c r="I183" s="373">
        <f>(26500)-3700+15600</f>
        <v>38400</v>
      </c>
      <c r="J183" s="373"/>
    </row>
    <row r="184" spans="1:10" ht="75" x14ac:dyDescent="0.2">
      <c r="B184" s="342" t="s">
        <v>454</v>
      </c>
      <c r="C184" s="342" t="s">
        <v>455</v>
      </c>
      <c r="D184" s="342" t="s">
        <v>444</v>
      </c>
      <c r="E184" s="342" t="s">
        <v>456</v>
      </c>
      <c r="F184" s="371" t="s">
        <v>956</v>
      </c>
      <c r="G184" s="378"/>
      <c r="H184" s="378"/>
      <c r="I184" s="373">
        <v>35000</v>
      </c>
      <c r="J184" s="373"/>
    </row>
    <row r="185" spans="1:10" ht="90" x14ac:dyDescent="0.2">
      <c r="B185" s="342" t="s">
        <v>454</v>
      </c>
      <c r="C185" s="342" t="s">
        <v>455</v>
      </c>
      <c r="D185" s="342" t="s">
        <v>444</v>
      </c>
      <c r="E185" s="342" t="s">
        <v>456</v>
      </c>
      <c r="F185" s="379" t="s">
        <v>947</v>
      </c>
      <c r="G185" s="378"/>
      <c r="H185" s="378"/>
      <c r="I185" s="373">
        <v>35000</v>
      </c>
      <c r="J185" s="373"/>
    </row>
    <row r="186" spans="1:10" ht="30" x14ac:dyDescent="0.2">
      <c r="A186" s="148"/>
      <c r="B186" s="401" t="s">
        <v>246</v>
      </c>
      <c r="C186" s="401"/>
      <c r="D186" s="401"/>
      <c r="E186" s="401" t="s">
        <v>563</v>
      </c>
      <c r="F186" s="401"/>
      <c r="G186" s="401"/>
      <c r="H186" s="401"/>
      <c r="I186" s="403">
        <f>I187</f>
        <v>2354114.52</v>
      </c>
      <c r="J186" s="401"/>
    </row>
    <row r="187" spans="1:10" ht="42.75" x14ac:dyDescent="0.2">
      <c r="A187" s="148"/>
      <c r="B187" s="402" t="s">
        <v>247</v>
      </c>
      <c r="C187" s="402"/>
      <c r="D187" s="402"/>
      <c r="E187" s="402" t="s">
        <v>564</v>
      </c>
      <c r="F187" s="402"/>
      <c r="G187" s="402"/>
      <c r="H187" s="402"/>
      <c r="I187" s="404">
        <f>SUM(I188:I192)</f>
        <v>2354114.52</v>
      </c>
      <c r="J187" s="402"/>
    </row>
    <row r="188" spans="1:10" ht="30" hidden="1" x14ac:dyDescent="0.2">
      <c r="B188" s="284" t="s">
        <v>558</v>
      </c>
      <c r="C188" s="284" t="s">
        <v>559</v>
      </c>
      <c r="D188" s="284" t="s">
        <v>250</v>
      </c>
      <c r="E188" s="284" t="s">
        <v>392</v>
      </c>
      <c r="F188" s="285" t="s">
        <v>90</v>
      </c>
      <c r="G188" s="288"/>
      <c r="H188" s="288"/>
      <c r="I188" s="289">
        <f>(2000000)-2000000</f>
        <v>0</v>
      </c>
      <c r="J188" s="289"/>
    </row>
    <row r="189" spans="1:10" ht="30" x14ac:dyDescent="0.2">
      <c r="B189" s="342" t="s">
        <v>390</v>
      </c>
      <c r="C189" s="342" t="s">
        <v>391</v>
      </c>
      <c r="D189" s="342" t="s">
        <v>389</v>
      </c>
      <c r="E189" s="342" t="s">
        <v>388</v>
      </c>
      <c r="F189" s="378" t="s">
        <v>90</v>
      </c>
      <c r="G189" s="420"/>
      <c r="H189" s="420"/>
      <c r="I189" s="365">
        <f>(((570000)+200000)+100000)</f>
        <v>870000</v>
      </c>
      <c r="J189" s="365"/>
    </row>
    <row r="190" spans="1:10" ht="30" x14ac:dyDescent="0.2">
      <c r="B190" s="342" t="s">
        <v>386</v>
      </c>
      <c r="C190" s="342" t="s">
        <v>387</v>
      </c>
      <c r="D190" s="342" t="s">
        <v>250</v>
      </c>
      <c r="E190" s="342" t="s">
        <v>385</v>
      </c>
      <c r="F190" s="378" t="s">
        <v>90</v>
      </c>
      <c r="G190" s="420"/>
      <c r="H190" s="420"/>
      <c r="I190" s="365">
        <f>((200000)-46885.48)+31000</f>
        <v>184114.52</v>
      </c>
      <c r="J190" s="365"/>
    </row>
    <row r="191" spans="1:10" ht="15" x14ac:dyDescent="0.2">
      <c r="B191" s="342" t="s">
        <v>886</v>
      </c>
      <c r="C191" s="342" t="s">
        <v>587</v>
      </c>
      <c r="D191" s="342" t="s">
        <v>71</v>
      </c>
      <c r="E191" s="342" t="s">
        <v>588</v>
      </c>
      <c r="F191" s="378" t="s">
        <v>90</v>
      </c>
      <c r="G191" s="420"/>
      <c r="H191" s="420"/>
      <c r="I191" s="365">
        <v>800000</v>
      </c>
      <c r="J191" s="365"/>
    </row>
    <row r="192" spans="1:10" ht="75" x14ac:dyDescent="0.2">
      <c r="B192" s="342" t="s">
        <v>886</v>
      </c>
      <c r="C192" s="342" t="s">
        <v>587</v>
      </c>
      <c r="D192" s="342" t="s">
        <v>71</v>
      </c>
      <c r="E192" s="342" t="s">
        <v>588</v>
      </c>
      <c r="F192" s="406" t="s">
        <v>958</v>
      </c>
      <c r="G192" s="420"/>
      <c r="H192" s="420"/>
      <c r="I192" s="365">
        <f>(2000000)-2000000+500000+1000000-1000000</f>
        <v>500000</v>
      </c>
      <c r="J192" s="365"/>
    </row>
    <row r="193" spans="1:17" ht="75" x14ac:dyDescent="0.2">
      <c r="B193" s="401" t="s">
        <v>242</v>
      </c>
      <c r="C193" s="401"/>
      <c r="D193" s="401"/>
      <c r="E193" s="401" t="s">
        <v>838</v>
      </c>
      <c r="F193" s="401"/>
      <c r="G193" s="401"/>
      <c r="H193" s="401"/>
      <c r="I193" s="403">
        <f>I194</f>
        <v>326000</v>
      </c>
      <c r="J193" s="401"/>
    </row>
    <row r="194" spans="1:17" ht="85.5" x14ac:dyDescent="0.2">
      <c r="B194" s="402" t="s">
        <v>243</v>
      </c>
      <c r="C194" s="402"/>
      <c r="D194" s="402"/>
      <c r="E194" s="402" t="s">
        <v>839</v>
      </c>
      <c r="F194" s="402"/>
      <c r="G194" s="402"/>
      <c r="H194" s="402"/>
      <c r="I194" s="404">
        <f>SUM(I195:I200)</f>
        <v>326000</v>
      </c>
      <c r="J194" s="402"/>
    </row>
    <row r="195" spans="1:17" ht="30" x14ac:dyDescent="0.2">
      <c r="B195" s="342" t="s">
        <v>451</v>
      </c>
      <c r="C195" s="342" t="s">
        <v>452</v>
      </c>
      <c r="D195" s="342" t="s">
        <v>453</v>
      </c>
      <c r="E195" s="342" t="s">
        <v>450</v>
      </c>
      <c r="F195" s="379" t="s">
        <v>680</v>
      </c>
      <c r="G195" s="378"/>
      <c r="H195" s="378"/>
      <c r="I195" s="373">
        <f>100000-100000</f>
        <v>0</v>
      </c>
      <c r="J195" s="373"/>
    </row>
    <row r="196" spans="1:17" ht="30" x14ac:dyDescent="0.2">
      <c r="B196" s="342" t="s">
        <v>451</v>
      </c>
      <c r="C196" s="342" t="s">
        <v>452</v>
      </c>
      <c r="D196" s="342" t="s">
        <v>453</v>
      </c>
      <c r="E196" s="342" t="s">
        <v>450</v>
      </c>
      <c r="F196" s="379" t="s">
        <v>55</v>
      </c>
      <c r="G196" s="378"/>
      <c r="H196" s="378"/>
      <c r="I196" s="373">
        <f>50000-29000</f>
        <v>21000</v>
      </c>
      <c r="J196" s="373"/>
    </row>
    <row r="197" spans="1:17" ht="45" x14ac:dyDescent="0.2">
      <c r="B197" s="342" t="s">
        <v>451</v>
      </c>
      <c r="C197" s="342" t="s">
        <v>452</v>
      </c>
      <c r="D197" s="342" t="s">
        <v>453</v>
      </c>
      <c r="E197" s="342" t="s">
        <v>450</v>
      </c>
      <c r="F197" s="379" t="s">
        <v>481</v>
      </c>
      <c r="G197" s="378"/>
      <c r="H197" s="378"/>
      <c r="I197" s="373">
        <f>50000-45000</f>
        <v>5000</v>
      </c>
      <c r="J197" s="373"/>
    </row>
    <row r="198" spans="1:17" ht="30" hidden="1" customHeight="1" x14ac:dyDescent="0.2">
      <c r="B198" s="342" t="s">
        <v>451</v>
      </c>
      <c r="C198" s="342" t="s">
        <v>452</v>
      </c>
      <c r="D198" s="342" t="s">
        <v>453</v>
      </c>
      <c r="E198" s="342" t="s">
        <v>450</v>
      </c>
      <c r="F198" s="379" t="s">
        <v>598</v>
      </c>
      <c r="G198" s="378"/>
      <c r="H198" s="378"/>
      <c r="I198" s="373"/>
      <c r="J198" s="373"/>
    </row>
    <row r="199" spans="1:17" ht="30" x14ac:dyDescent="0.2">
      <c r="B199" s="342" t="s">
        <v>451</v>
      </c>
      <c r="C199" s="342" t="s">
        <v>452</v>
      </c>
      <c r="D199" s="342" t="s">
        <v>453</v>
      </c>
      <c r="E199" s="342" t="s">
        <v>450</v>
      </c>
      <c r="F199" s="379" t="s">
        <v>56</v>
      </c>
      <c r="G199" s="378"/>
      <c r="H199" s="378"/>
      <c r="I199" s="373">
        <v>210000</v>
      </c>
      <c r="J199" s="373"/>
    </row>
    <row r="200" spans="1:17" ht="45" x14ac:dyDescent="0.2">
      <c r="B200" s="342" t="s">
        <v>595</v>
      </c>
      <c r="C200" s="342" t="s">
        <v>596</v>
      </c>
      <c r="D200" s="342" t="s">
        <v>250</v>
      </c>
      <c r="E200" s="342" t="s">
        <v>597</v>
      </c>
      <c r="F200" s="379" t="s">
        <v>482</v>
      </c>
      <c r="G200" s="378"/>
      <c r="H200" s="378"/>
      <c r="I200" s="373">
        <v>90000</v>
      </c>
      <c r="J200" s="373"/>
    </row>
    <row r="201" spans="1:17" ht="30" x14ac:dyDescent="0.2">
      <c r="B201" s="401" t="s">
        <v>248</v>
      </c>
      <c r="C201" s="401"/>
      <c r="D201" s="401"/>
      <c r="E201" s="401" t="s">
        <v>48</v>
      </c>
      <c r="F201" s="401"/>
      <c r="G201" s="401"/>
      <c r="H201" s="401"/>
      <c r="I201" s="403">
        <f>I202</f>
        <v>62500</v>
      </c>
      <c r="J201" s="401"/>
    </row>
    <row r="202" spans="1:17" ht="42.75" x14ac:dyDescent="0.2">
      <c r="B202" s="402" t="s">
        <v>249</v>
      </c>
      <c r="C202" s="402"/>
      <c r="D202" s="402"/>
      <c r="E202" s="402" t="s">
        <v>66</v>
      </c>
      <c r="F202" s="402"/>
      <c r="G202" s="402"/>
      <c r="H202" s="402"/>
      <c r="I202" s="404">
        <f>I203</f>
        <v>62500</v>
      </c>
      <c r="J202" s="402"/>
    </row>
    <row r="203" spans="1:17" ht="45" x14ac:dyDescent="0.2">
      <c r="B203" s="342" t="s">
        <v>716</v>
      </c>
      <c r="C203" s="342" t="s">
        <v>335</v>
      </c>
      <c r="D203" s="342" t="s">
        <v>333</v>
      </c>
      <c r="E203" s="342" t="s">
        <v>334</v>
      </c>
      <c r="F203" s="378" t="s">
        <v>90</v>
      </c>
      <c r="G203" s="378"/>
      <c r="H203" s="378"/>
      <c r="I203" s="373">
        <f>(50000)+12500</f>
        <v>62500</v>
      </c>
      <c r="J203" s="373"/>
    </row>
    <row r="204" spans="1:17" ht="24.75" customHeight="1" x14ac:dyDescent="0.3">
      <c r="A204" s="20"/>
      <c r="B204" s="138" t="s">
        <v>633</v>
      </c>
      <c r="C204" s="138" t="s">
        <v>633</v>
      </c>
      <c r="D204" s="138" t="s">
        <v>633</v>
      </c>
      <c r="E204" s="179" t="s">
        <v>649</v>
      </c>
      <c r="F204" s="138" t="s">
        <v>633</v>
      </c>
      <c r="G204" s="138" t="s">
        <v>633</v>
      </c>
      <c r="H204" s="138" t="s">
        <v>633</v>
      </c>
      <c r="I204" s="139">
        <f>I6+I15+I79+I34+I47+I70+I90+I156+I179+I193+I186+I201</f>
        <v>472178063.34999996</v>
      </c>
      <c r="J204" s="138" t="s">
        <v>633</v>
      </c>
      <c r="K204" s="242" t="b">
        <f>I204='d3'!K198</f>
        <v>1</v>
      </c>
    </row>
    <row r="205" spans="1:17" ht="15.75" x14ac:dyDescent="0.2">
      <c r="B205" s="537" t="s">
        <v>483</v>
      </c>
      <c r="C205" s="538"/>
      <c r="D205" s="538"/>
      <c r="E205" s="538"/>
      <c r="F205" s="538"/>
      <c r="G205" s="538"/>
      <c r="H205" s="538"/>
      <c r="I205" s="538"/>
      <c r="J205" s="538"/>
      <c r="K205" s="538"/>
      <c r="L205" s="538"/>
      <c r="M205" s="538"/>
      <c r="N205" s="538"/>
      <c r="O205" s="538"/>
      <c r="P205" s="538"/>
      <c r="Q205" s="538"/>
    </row>
    <row r="206" spans="1:17" ht="12" customHeight="1" x14ac:dyDescent="0.2">
      <c r="B206" s="539"/>
      <c r="C206" s="539"/>
      <c r="D206" s="539"/>
      <c r="E206" s="539"/>
      <c r="F206" s="539"/>
      <c r="G206" s="539"/>
      <c r="H206" s="539"/>
      <c r="I206" s="539"/>
      <c r="J206" s="539"/>
    </row>
    <row r="207" spans="1:17" ht="15" x14ac:dyDescent="0.25">
      <c r="D207" s="516" t="s">
        <v>1007</v>
      </c>
      <c r="E207" s="516"/>
      <c r="F207" s="516"/>
      <c r="G207" s="516"/>
      <c r="H207" s="516"/>
      <c r="I207" s="516"/>
      <c r="J207" s="516"/>
      <c r="K207" s="516"/>
      <c r="L207" s="516"/>
      <c r="M207" s="516"/>
      <c r="N207" s="516"/>
      <c r="O207" s="516"/>
      <c r="P207" s="516"/>
      <c r="Q207" s="516"/>
    </row>
    <row r="208" spans="1:17" ht="15" x14ac:dyDescent="0.25">
      <c r="D208" s="516"/>
      <c r="E208" s="516"/>
      <c r="F208" s="516"/>
      <c r="G208" s="516"/>
      <c r="H208" s="516"/>
      <c r="I208" s="516"/>
      <c r="J208" s="516"/>
      <c r="K208" s="516"/>
      <c r="L208" s="516"/>
      <c r="M208" s="516"/>
      <c r="N208" s="516"/>
      <c r="O208" s="516"/>
      <c r="P208" s="516"/>
      <c r="Q208" s="229"/>
    </row>
    <row r="209" spans="4:17" ht="15" x14ac:dyDescent="0.25">
      <c r="D209" s="516"/>
      <c r="E209" s="516"/>
      <c r="F209" s="516"/>
      <c r="G209" s="516"/>
      <c r="H209" s="516"/>
      <c r="I209" s="516"/>
      <c r="J209" s="516"/>
      <c r="K209" s="516"/>
      <c r="L209" s="516"/>
      <c r="M209" s="516"/>
      <c r="N209" s="516"/>
      <c r="O209" s="516"/>
      <c r="P209" s="516"/>
      <c r="Q209" s="229"/>
    </row>
    <row r="226" spans="7:10" ht="46.5" x14ac:dyDescent="0.2">
      <c r="J226" s="214"/>
    </row>
    <row r="229" spans="7:10" ht="46.5" x14ac:dyDescent="0.2">
      <c r="G229" s="214"/>
      <c r="J229" s="214"/>
    </row>
    <row r="248" spans="11:11" ht="90" x14ac:dyDescent="1.1499999999999999">
      <c r="K248" s="212"/>
    </row>
  </sheetData>
  <mergeCells count="32">
    <mergeCell ref="D207:Q207"/>
    <mergeCell ref="D208:P208"/>
    <mergeCell ref="D209:P209"/>
    <mergeCell ref="H60:H62"/>
    <mergeCell ref="I60:I62"/>
    <mergeCell ref="J60:J62"/>
    <mergeCell ref="B205:Q205"/>
    <mergeCell ref="B206:J206"/>
    <mergeCell ref="B60:B62"/>
    <mergeCell ref="C60:C62"/>
    <mergeCell ref="D60:D62"/>
    <mergeCell ref="F60:F62"/>
    <mergeCell ref="G60:G62"/>
    <mergeCell ref="B1:J1"/>
    <mergeCell ref="G2:J2"/>
    <mergeCell ref="B3:J3"/>
    <mergeCell ref="B53:B55"/>
    <mergeCell ref="C53:C55"/>
    <mergeCell ref="D53:D55"/>
    <mergeCell ref="F53:F55"/>
    <mergeCell ref="G53:G55"/>
    <mergeCell ref="H53:H55"/>
    <mergeCell ref="I53:I55"/>
    <mergeCell ref="J53:J55"/>
    <mergeCell ref="G56:G59"/>
    <mergeCell ref="H56:H59"/>
    <mergeCell ref="I56:I59"/>
    <mergeCell ref="J56:J59"/>
    <mergeCell ref="B56:B59"/>
    <mergeCell ref="C56:C59"/>
    <mergeCell ref="D56:D59"/>
    <mergeCell ref="F56:F59"/>
  </mergeCells>
  <printOptions horizontalCentered="1"/>
  <pageMargins left="0.82677165354330717" right="0" top="0.31496062992125984" bottom="0.31496062992125984" header="0.23622047244094491" footer="0.19685039370078741"/>
  <pageSetup paperSize="9" scale="70" fitToHeight="0" orientation="landscape" r:id="rId1"/>
  <headerFooter alignWithMargins="0">
    <oddFooter>&amp;R&amp;P</oddFooter>
  </headerFooter>
  <rowBreaks count="2" manualBreakCount="2">
    <brk id="21" max="16383" man="1"/>
    <brk id="4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K158"/>
  <sheetViews>
    <sheetView view="pageBreakPreview" topLeftCell="A28" zoomScale="85" zoomScaleNormal="85" zoomScaleSheetLayoutView="85" workbookViewId="0">
      <selection activeCell="D2" sqref="D2:E2"/>
    </sheetView>
  </sheetViews>
  <sheetFormatPr defaultColWidth="9.140625" defaultRowHeight="12.75" x14ac:dyDescent="0.2"/>
  <cols>
    <col min="1" max="1" width="7" style="96" customWidth="1"/>
    <col min="2" max="2" width="23.5703125" style="96" customWidth="1"/>
    <col min="3" max="3" width="83.5703125" style="96" customWidth="1"/>
    <col min="4" max="4" width="18.28515625" style="96" customWidth="1"/>
    <col min="5" max="5" width="17" style="96" customWidth="1"/>
    <col min="6" max="6" width="14.7109375" style="96" customWidth="1"/>
    <col min="7" max="7" width="12.7109375" style="96" bestFit="1" customWidth="1"/>
    <col min="8" max="10" width="9.140625" style="96"/>
    <col min="11" max="11" width="52.5703125" style="96" customWidth="1"/>
    <col min="12" max="16384" width="9.140625" style="96"/>
  </cols>
  <sheetData>
    <row r="1" spans="1:8" ht="16.5" customHeight="1" x14ac:dyDescent="0.2">
      <c r="A1" s="95"/>
      <c r="D1" s="456" t="s">
        <v>187</v>
      </c>
      <c r="E1" s="456"/>
    </row>
    <row r="2" spans="1:8" ht="16.5" customHeight="1" x14ac:dyDescent="0.2">
      <c r="A2" s="95"/>
      <c r="D2" s="456" t="s">
        <v>1022</v>
      </c>
      <c r="E2" s="557"/>
    </row>
    <row r="3" spans="1:8" ht="12.75" customHeight="1" x14ac:dyDescent="0.2">
      <c r="A3" s="95"/>
      <c r="D3" s="456"/>
      <c r="E3" s="557"/>
    </row>
    <row r="4" spans="1:8" ht="12.75" customHeight="1" x14ac:dyDescent="0.2">
      <c r="A4" s="95"/>
      <c r="D4" s="456"/>
      <c r="E4" s="458"/>
    </row>
    <row r="5" spans="1:8" ht="16.5" x14ac:dyDescent="0.25">
      <c r="A5" s="540" t="s">
        <v>188</v>
      </c>
      <c r="B5" s="541"/>
      <c r="C5" s="541"/>
      <c r="D5" s="541"/>
      <c r="E5" s="542"/>
      <c r="F5" s="97"/>
    </row>
    <row r="6" spans="1:8" ht="16.5" x14ac:dyDescent="0.25">
      <c r="A6" s="540" t="s">
        <v>189</v>
      </c>
      <c r="B6" s="540"/>
      <c r="C6" s="540"/>
      <c r="D6" s="540"/>
      <c r="E6" s="457"/>
    </row>
    <row r="7" spans="1:8" ht="16.5" x14ac:dyDescent="0.2">
      <c r="A7" s="543" t="s">
        <v>628</v>
      </c>
      <c r="B7" s="543"/>
      <c r="C7" s="543"/>
      <c r="D7" s="543"/>
      <c r="E7" s="544"/>
    </row>
    <row r="8" spans="1:8" ht="16.5" x14ac:dyDescent="0.2">
      <c r="D8" s="184"/>
      <c r="E8" s="184" t="s">
        <v>670</v>
      </c>
      <c r="F8" s="97"/>
      <c r="G8" s="97"/>
      <c r="H8" s="98"/>
    </row>
    <row r="9" spans="1:8" s="99" customFormat="1" ht="26.45" customHeight="1" x14ac:dyDescent="0.2">
      <c r="B9" s="100" t="s">
        <v>190</v>
      </c>
      <c r="C9" s="551" t="s">
        <v>191</v>
      </c>
      <c r="D9" s="549"/>
      <c r="E9" s="550"/>
    </row>
    <row r="10" spans="1:8" s="99" customFormat="1" ht="39.75" customHeight="1" x14ac:dyDescent="0.2">
      <c r="A10" s="101"/>
      <c r="B10" s="290" t="s">
        <v>192</v>
      </c>
      <c r="C10" s="545" t="s">
        <v>193</v>
      </c>
      <c r="D10" s="546"/>
      <c r="E10" s="291">
        <v>100</v>
      </c>
    </row>
    <row r="11" spans="1:8" s="99" customFormat="1" ht="40.700000000000003" customHeight="1" x14ac:dyDescent="0.2">
      <c r="B11" s="290" t="s">
        <v>194</v>
      </c>
      <c r="C11" s="545" t="s">
        <v>195</v>
      </c>
      <c r="D11" s="546"/>
      <c r="E11" s="291">
        <f>4350000+100000</f>
        <v>4450000</v>
      </c>
    </row>
    <row r="12" spans="1:8" s="99" customFormat="1" ht="61.5" customHeight="1" x14ac:dyDescent="0.2">
      <c r="B12" s="290" t="s">
        <v>196</v>
      </c>
      <c r="C12" s="545" t="s">
        <v>197</v>
      </c>
      <c r="D12" s="546"/>
      <c r="E12" s="291">
        <v>8500</v>
      </c>
    </row>
    <row r="13" spans="1:8" s="99" customFormat="1" ht="61.5" customHeight="1" x14ac:dyDescent="0.2">
      <c r="B13" s="290" t="s">
        <v>198</v>
      </c>
      <c r="C13" s="545" t="s">
        <v>199</v>
      </c>
      <c r="D13" s="546"/>
      <c r="E13" s="291">
        <v>0</v>
      </c>
      <c r="G13" s="99">
        <f>H13+I13</f>
        <v>0</v>
      </c>
    </row>
    <row r="14" spans="1:8" s="99" customFormat="1" ht="41.25" customHeight="1" x14ac:dyDescent="0.2">
      <c r="B14" s="290" t="s">
        <v>200</v>
      </c>
      <c r="C14" s="545" t="s">
        <v>201</v>
      </c>
      <c r="D14" s="546"/>
      <c r="E14" s="291">
        <v>3500</v>
      </c>
      <c r="G14" s="99">
        <f>H14+I14</f>
        <v>0</v>
      </c>
    </row>
    <row r="15" spans="1:8" s="99" customFormat="1" ht="26.45" customHeight="1" x14ac:dyDescent="0.2">
      <c r="B15" s="290"/>
      <c r="C15" s="554" t="s">
        <v>202</v>
      </c>
      <c r="D15" s="546"/>
      <c r="E15" s="296">
        <f>SUM(E10:E14)</f>
        <v>4462100</v>
      </c>
    </row>
    <row r="16" spans="1:8" s="99" customFormat="1" ht="26.45" customHeight="1" x14ac:dyDescent="0.2">
      <c r="B16" s="290"/>
      <c r="C16" s="554" t="s">
        <v>629</v>
      </c>
      <c r="D16" s="546"/>
      <c r="E16" s="296">
        <v>546803.04</v>
      </c>
      <c r="G16" s="99">
        <f>H16+I16</f>
        <v>0</v>
      </c>
    </row>
    <row r="17" spans="1:7" s="99" customFormat="1" ht="26.45" customHeight="1" x14ac:dyDescent="0.2">
      <c r="B17" s="142"/>
      <c r="C17" s="552" t="s">
        <v>203</v>
      </c>
      <c r="D17" s="553"/>
      <c r="E17" s="143">
        <f>E15+E16</f>
        <v>5008903.04</v>
      </c>
    </row>
    <row r="18" spans="1:7" s="99" customFormat="1" ht="30.75" customHeight="1" x14ac:dyDescent="0.2">
      <c r="A18" s="112"/>
      <c r="B18" s="102"/>
      <c r="C18" s="548" t="s">
        <v>204</v>
      </c>
      <c r="D18" s="549"/>
      <c r="E18" s="550"/>
      <c r="G18" s="99">
        <f>SUM(G19:G29)</f>
        <v>0</v>
      </c>
    </row>
    <row r="19" spans="1:7" s="99" customFormat="1" ht="43.5" customHeight="1" x14ac:dyDescent="0.2">
      <c r="A19" s="112"/>
      <c r="B19" s="290" t="s">
        <v>205</v>
      </c>
      <c r="C19" s="545" t="s">
        <v>206</v>
      </c>
      <c r="D19" s="546"/>
      <c r="E19" s="291">
        <f>((90000)+30000)-75000</f>
        <v>45000</v>
      </c>
      <c r="G19" s="99">
        <f>H19+I19</f>
        <v>0</v>
      </c>
    </row>
    <row r="20" spans="1:7" s="99" customFormat="1" ht="44.45" customHeight="1" x14ac:dyDescent="0.2">
      <c r="A20" s="112"/>
      <c r="B20" s="290" t="s">
        <v>207</v>
      </c>
      <c r="C20" s="545" t="s">
        <v>208</v>
      </c>
      <c r="D20" s="546"/>
      <c r="E20" s="291">
        <f>(81100)+8000</f>
        <v>89100</v>
      </c>
      <c r="G20" s="99">
        <f>H20+I20</f>
        <v>0</v>
      </c>
    </row>
    <row r="21" spans="1:7" s="99" customFormat="1" ht="61.5" customHeight="1" x14ac:dyDescent="0.2">
      <c r="A21" s="112"/>
      <c r="B21" s="290" t="s">
        <v>209</v>
      </c>
      <c r="C21" s="545" t="s">
        <v>909</v>
      </c>
      <c r="D21" s="546"/>
      <c r="E21" s="291">
        <f>(317000)-134495</f>
        <v>182505</v>
      </c>
      <c r="G21" s="99">
        <f>H21+I21</f>
        <v>0</v>
      </c>
    </row>
    <row r="22" spans="1:7" s="99" customFormat="1" ht="44.45" customHeight="1" x14ac:dyDescent="0.2">
      <c r="A22" s="112"/>
      <c r="B22" s="290" t="s">
        <v>210</v>
      </c>
      <c r="C22" s="545" t="s">
        <v>695</v>
      </c>
      <c r="D22" s="546"/>
      <c r="E22" s="291">
        <v>199000</v>
      </c>
      <c r="G22" s="99">
        <f>H22+I22</f>
        <v>0</v>
      </c>
    </row>
    <row r="23" spans="1:7" s="99" customFormat="1" ht="32.25" customHeight="1" x14ac:dyDescent="0.2">
      <c r="A23" s="112"/>
      <c r="B23" s="290" t="s">
        <v>211</v>
      </c>
      <c r="C23" s="545" t="s">
        <v>212</v>
      </c>
      <c r="D23" s="546"/>
      <c r="E23" s="291">
        <v>202000</v>
      </c>
      <c r="G23" s="99">
        <f>H23+I23</f>
        <v>0</v>
      </c>
    </row>
    <row r="24" spans="1:7" s="99" customFormat="1" ht="40.700000000000003" customHeight="1" x14ac:dyDescent="0.2">
      <c r="A24" s="112"/>
      <c r="B24" s="290" t="s">
        <v>213</v>
      </c>
      <c r="C24" s="545" t="s">
        <v>214</v>
      </c>
      <c r="D24" s="546"/>
      <c r="E24" s="291">
        <f>((700000)+60000)+40000</f>
        <v>800000</v>
      </c>
    </row>
    <row r="25" spans="1:7" s="99" customFormat="1" ht="79.5" customHeight="1" x14ac:dyDescent="0.2">
      <c r="A25" s="112"/>
      <c r="B25" s="290" t="s">
        <v>215</v>
      </c>
      <c r="C25" s="545" t="s">
        <v>216</v>
      </c>
      <c r="D25" s="546"/>
      <c r="E25" s="291">
        <f>(750000)+53137</f>
        <v>803137</v>
      </c>
    </row>
    <row r="26" spans="1:7" s="99" customFormat="1" ht="44.45" customHeight="1" x14ac:dyDescent="0.2">
      <c r="A26" s="112"/>
      <c r="B26" s="290" t="s">
        <v>217</v>
      </c>
      <c r="C26" s="559" t="s">
        <v>218</v>
      </c>
      <c r="D26" s="546"/>
      <c r="E26" s="291">
        <v>18000</v>
      </c>
    </row>
    <row r="27" spans="1:7" s="99" customFormat="1" ht="15.75" hidden="1" customHeight="1" x14ac:dyDescent="0.2">
      <c r="A27" s="112"/>
      <c r="B27" s="290" t="s">
        <v>219</v>
      </c>
      <c r="C27" s="559" t="s">
        <v>220</v>
      </c>
      <c r="D27" s="546"/>
      <c r="E27" s="291"/>
    </row>
    <row r="28" spans="1:7" s="99" customFormat="1" ht="45.75" customHeight="1" x14ac:dyDescent="0.2">
      <c r="A28" s="112"/>
      <c r="B28" s="290" t="s">
        <v>221</v>
      </c>
      <c r="C28" s="545" t="s">
        <v>222</v>
      </c>
      <c r="D28" s="546"/>
      <c r="E28" s="291">
        <f>((1855000)+300000+30636.7+42100+153264+27665.34)+127000+134495</f>
        <v>2670161.04</v>
      </c>
    </row>
    <row r="29" spans="1:7" s="99" customFormat="1" ht="27.75" customHeight="1" x14ac:dyDescent="0.2">
      <c r="B29" s="140"/>
      <c r="C29" s="558" t="s">
        <v>203</v>
      </c>
      <c r="D29" s="553"/>
      <c r="E29" s="141">
        <f>E19+E20+E21+E22+E23+E24+E26+E27+E28+E25</f>
        <v>5008903.04</v>
      </c>
      <c r="F29" s="202" t="b">
        <f>E17=E29</f>
        <v>1</v>
      </c>
      <c r="G29" s="202" t="b">
        <f>E29='d3'!Q19+'d3'!Q109+'d3'!Q156</f>
        <v>1</v>
      </c>
    </row>
    <row r="32" spans="1:7" ht="18.75" x14ac:dyDescent="0.2">
      <c r="B32" s="172" t="s">
        <v>1003</v>
      </c>
      <c r="C32" s="172"/>
      <c r="D32" s="172" t="s">
        <v>1004</v>
      </c>
    </row>
    <row r="33" spans="2:7" ht="18.75" x14ac:dyDescent="0.2">
      <c r="B33" s="172"/>
      <c r="C33" s="172"/>
      <c r="D33" s="172"/>
    </row>
    <row r="34" spans="2:7" ht="18.75" x14ac:dyDescent="0.2">
      <c r="B34" s="547"/>
      <c r="C34" s="547"/>
      <c r="D34" s="171"/>
    </row>
    <row r="40" spans="2:7" ht="16.5" x14ac:dyDescent="0.2">
      <c r="B40" s="556"/>
      <c r="C40" s="103"/>
      <c r="D40" s="104"/>
      <c r="E40" s="105"/>
    </row>
    <row r="41" spans="2:7" ht="16.5" x14ac:dyDescent="0.2">
      <c r="B41" s="556"/>
      <c r="C41" s="106"/>
      <c r="D41" s="104"/>
      <c r="E41" s="105"/>
    </row>
    <row r="42" spans="2:7" ht="16.5" x14ac:dyDescent="0.2">
      <c r="B42" s="556"/>
      <c r="C42" s="107"/>
      <c r="D42" s="104"/>
      <c r="E42" s="105"/>
    </row>
    <row r="43" spans="2:7" ht="16.5" x14ac:dyDescent="0.2">
      <c r="B43" s="556"/>
      <c r="C43" s="103"/>
      <c r="D43" s="104"/>
      <c r="E43" s="105"/>
    </row>
    <row r="44" spans="2:7" ht="16.5" x14ac:dyDescent="0.2">
      <c r="B44" s="556"/>
      <c r="C44" s="103"/>
      <c r="D44" s="104"/>
      <c r="E44" s="105"/>
    </row>
    <row r="45" spans="2:7" x14ac:dyDescent="0.2">
      <c r="G45" s="96">
        <f>H45+I45</f>
        <v>0</v>
      </c>
    </row>
    <row r="47" spans="2:7" x14ac:dyDescent="0.2">
      <c r="G47" s="96">
        <f t="shared" ref="G47:G65" si="0">H47+I47</f>
        <v>0</v>
      </c>
    </row>
    <row r="48" spans="2:7" x14ac:dyDescent="0.2">
      <c r="G48" s="96">
        <f t="shared" si="0"/>
        <v>0</v>
      </c>
    </row>
    <row r="49" spans="7:7" x14ac:dyDescent="0.2">
      <c r="G49" s="96">
        <f t="shared" si="0"/>
        <v>0</v>
      </c>
    </row>
    <row r="50" spans="7:7" x14ac:dyDescent="0.2">
      <c r="G50" s="96">
        <f t="shared" si="0"/>
        <v>0</v>
      </c>
    </row>
    <row r="51" spans="7:7" x14ac:dyDescent="0.2">
      <c r="G51" s="96">
        <f t="shared" si="0"/>
        <v>0</v>
      </c>
    </row>
    <row r="52" spans="7:7" x14ac:dyDescent="0.2">
      <c r="G52" s="96">
        <f t="shared" si="0"/>
        <v>0</v>
      </c>
    </row>
    <row r="53" spans="7:7" x14ac:dyDescent="0.2">
      <c r="G53" s="96">
        <f t="shared" si="0"/>
        <v>0</v>
      </c>
    </row>
    <row r="54" spans="7:7" x14ac:dyDescent="0.2">
      <c r="G54" s="96">
        <f t="shared" si="0"/>
        <v>0</v>
      </c>
    </row>
    <row r="55" spans="7:7" x14ac:dyDescent="0.2">
      <c r="G55" s="96">
        <f t="shared" si="0"/>
        <v>0</v>
      </c>
    </row>
    <row r="56" spans="7:7" x14ac:dyDescent="0.2">
      <c r="G56" s="96">
        <f t="shared" si="0"/>
        <v>0</v>
      </c>
    </row>
    <row r="57" spans="7:7" x14ac:dyDescent="0.2">
      <c r="G57" s="96">
        <f t="shared" si="0"/>
        <v>0</v>
      </c>
    </row>
    <row r="58" spans="7:7" x14ac:dyDescent="0.2">
      <c r="G58" s="96">
        <f t="shared" si="0"/>
        <v>0</v>
      </c>
    </row>
    <row r="59" spans="7:7" x14ac:dyDescent="0.2">
      <c r="G59" s="96">
        <f t="shared" si="0"/>
        <v>0</v>
      </c>
    </row>
    <row r="60" spans="7:7" x14ac:dyDescent="0.2">
      <c r="G60" s="96">
        <f t="shared" si="0"/>
        <v>0</v>
      </c>
    </row>
    <row r="61" spans="7:7" x14ac:dyDescent="0.2">
      <c r="G61" s="96">
        <f t="shared" si="0"/>
        <v>0</v>
      </c>
    </row>
    <row r="62" spans="7:7" x14ac:dyDescent="0.2">
      <c r="G62" s="96">
        <f t="shared" si="0"/>
        <v>0</v>
      </c>
    </row>
    <row r="63" spans="7:7" x14ac:dyDescent="0.2">
      <c r="G63" s="96">
        <f t="shared" si="0"/>
        <v>0</v>
      </c>
    </row>
    <row r="64" spans="7:7" x14ac:dyDescent="0.2">
      <c r="G64" s="96">
        <f t="shared" si="0"/>
        <v>0</v>
      </c>
    </row>
    <row r="65" spans="7:7" x14ac:dyDescent="0.2">
      <c r="G65" s="96">
        <f t="shared" si="0"/>
        <v>0</v>
      </c>
    </row>
    <row r="67" spans="7:7" x14ac:dyDescent="0.2">
      <c r="G67" s="96">
        <f>H67+I67</f>
        <v>0</v>
      </c>
    </row>
    <row r="68" spans="7:7" x14ac:dyDescent="0.2">
      <c r="G68" s="96">
        <f>H68+I68</f>
        <v>0</v>
      </c>
    </row>
    <row r="69" spans="7:7" x14ac:dyDescent="0.2">
      <c r="G69" s="96">
        <f>H69+I69</f>
        <v>0</v>
      </c>
    </row>
    <row r="70" spans="7:7" x14ac:dyDescent="0.2">
      <c r="G70" s="96">
        <f>H70+I70</f>
        <v>0</v>
      </c>
    </row>
    <row r="72" spans="7:7" x14ac:dyDescent="0.2">
      <c r="G72" s="96">
        <f>H72+I72</f>
        <v>0</v>
      </c>
    </row>
    <row r="75" spans="7:7" x14ac:dyDescent="0.2">
      <c r="G75" s="555"/>
    </row>
    <row r="76" spans="7:7" x14ac:dyDescent="0.2">
      <c r="G76" s="457"/>
    </row>
    <row r="112" spans="7:7" x14ac:dyDescent="0.2">
      <c r="G112" s="96">
        <f>H112+I112</f>
        <v>0</v>
      </c>
    </row>
    <row r="114" spans="7:7" x14ac:dyDescent="0.2">
      <c r="G114" s="96">
        <f t="shared" ref="G114:G124" si="1">H114+I114</f>
        <v>0</v>
      </c>
    </row>
    <row r="115" spans="7:7" x14ac:dyDescent="0.2">
      <c r="G115" s="96">
        <f t="shared" si="1"/>
        <v>0</v>
      </c>
    </row>
    <row r="116" spans="7:7" x14ac:dyDescent="0.2">
      <c r="G116" s="96">
        <f t="shared" si="1"/>
        <v>0</v>
      </c>
    </row>
    <row r="117" spans="7:7" x14ac:dyDescent="0.2">
      <c r="G117" s="96">
        <f t="shared" si="1"/>
        <v>0</v>
      </c>
    </row>
    <row r="118" spans="7:7" x14ac:dyDescent="0.2">
      <c r="G118" s="96">
        <f t="shared" si="1"/>
        <v>0</v>
      </c>
    </row>
    <row r="119" spans="7:7" x14ac:dyDescent="0.2">
      <c r="G119" s="96">
        <f t="shared" si="1"/>
        <v>0</v>
      </c>
    </row>
    <row r="120" spans="7:7" x14ac:dyDescent="0.2">
      <c r="G120" s="96">
        <f t="shared" si="1"/>
        <v>0</v>
      </c>
    </row>
    <row r="121" spans="7:7" x14ac:dyDescent="0.2">
      <c r="G121" s="96">
        <f t="shared" si="1"/>
        <v>0</v>
      </c>
    </row>
    <row r="122" spans="7:7" x14ac:dyDescent="0.2">
      <c r="G122" s="96">
        <f t="shared" si="1"/>
        <v>0</v>
      </c>
    </row>
    <row r="123" spans="7:7" x14ac:dyDescent="0.2">
      <c r="G123" s="96">
        <f t="shared" si="1"/>
        <v>0</v>
      </c>
    </row>
    <row r="124" spans="7:7" x14ac:dyDescent="0.2">
      <c r="G124" s="96">
        <f t="shared" si="1"/>
        <v>0</v>
      </c>
    </row>
    <row r="126" spans="7:7" x14ac:dyDescent="0.2">
      <c r="G126" s="96">
        <f>H127+I127</f>
        <v>0</v>
      </c>
    </row>
    <row r="127" spans="7:7" x14ac:dyDescent="0.2">
      <c r="G127" s="96">
        <f t="shared" ref="G127" si="2">H127+I127</f>
        <v>0</v>
      </c>
    </row>
    <row r="128" spans="7:7" x14ac:dyDescent="0.2">
      <c r="G128" s="96">
        <f>H128+I128</f>
        <v>0</v>
      </c>
    </row>
    <row r="129" spans="7:10" x14ac:dyDescent="0.2">
      <c r="G129" s="96">
        <f>H129+I129</f>
        <v>0</v>
      </c>
    </row>
    <row r="130" spans="7:10" x14ac:dyDescent="0.2">
      <c r="G130" s="96">
        <f>H130+I130</f>
        <v>0</v>
      </c>
    </row>
    <row r="131" spans="7:10" x14ac:dyDescent="0.2">
      <c r="G131" s="96">
        <f>H131+I131</f>
        <v>0</v>
      </c>
    </row>
    <row r="136" spans="7:10" ht="46.5" x14ac:dyDescent="0.2">
      <c r="J136" s="213"/>
    </row>
    <row r="139" spans="7:10" ht="46.5" x14ac:dyDescent="0.2">
      <c r="G139" s="213">
        <f>H139+I139</f>
        <v>0</v>
      </c>
      <c r="J139" s="213"/>
    </row>
    <row r="158" spans="11:11" ht="90" x14ac:dyDescent="0.2">
      <c r="K158" s="211" t="b">
        <f>G158=H158+I158</f>
        <v>1</v>
      </c>
    </row>
  </sheetData>
  <mergeCells count="31">
    <mergeCell ref="G75:G76"/>
    <mergeCell ref="B40:B44"/>
    <mergeCell ref="D1:E1"/>
    <mergeCell ref="D2:E2"/>
    <mergeCell ref="D3:E3"/>
    <mergeCell ref="D4:E4"/>
    <mergeCell ref="C29:D29"/>
    <mergeCell ref="C28:D28"/>
    <mergeCell ref="C27:D27"/>
    <mergeCell ref="C26:D26"/>
    <mergeCell ref="C25:D25"/>
    <mergeCell ref="C24:D24"/>
    <mergeCell ref="C23:D23"/>
    <mergeCell ref="C22:D22"/>
    <mergeCell ref="C21:D21"/>
    <mergeCell ref="C20:D20"/>
    <mergeCell ref="C19:D19"/>
    <mergeCell ref="B34:C34"/>
    <mergeCell ref="C18:E18"/>
    <mergeCell ref="C9:E9"/>
    <mergeCell ref="C17:D17"/>
    <mergeCell ref="C16:D16"/>
    <mergeCell ref="C15:D15"/>
    <mergeCell ref="C14:D14"/>
    <mergeCell ref="C13:D13"/>
    <mergeCell ref="A5:E5"/>
    <mergeCell ref="A6:E6"/>
    <mergeCell ref="A7:E7"/>
    <mergeCell ref="C12:D12"/>
    <mergeCell ref="C11:D11"/>
    <mergeCell ref="C10:D10"/>
  </mergeCells>
  <pageMargins left="0.23622047244094491" right="0.31496062992125984" top="0.27559055118110237" bottom="0" header="0.23622047244094491" footer="0.19685039370078741"/>
  <pageSetup paperSize="9" scale="6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dimension ref="A1:K163"/>
  <sheetViews>
    <sheetView view="pageBreakPreview" zoomScale="85" zoomScaleNormal="85" zoomScaleSheetLayoutView="85" workbookViewId="0">
      <selection activeCell="F3" sqref="F3"/>
    </sheetView>
  </sheetViews>
  <sheetFormatPr defaultRowHeight="12.75" x14ac:dyDescent="0.2"/>
  <cols>
    <col min="1" max="1" width="6.85546875" customWidth="1"/>
    <col min="2" max="2" width="15.140625" customWidth="1"/>
    <col min="3" max="3" width="15.28515625" customWidth="1"/>
    <col min="4" max="4" width="10.85546875" customWidth="1"/>
    <col min="5" max="5" width="58.140625" customWidth="1"/>
    <col min="6" max="6" width="15.85546875" customWidth="1"/>
    <col min="11" max="11" width="52.5703125" customWidth="1"/>
  </cols>
  <sheetData>
    <row r="1" spans="1:6" x14ac:dyDescent="0.2">
      <c r="A1" s="119"/>
      <c r="B1" s="119"/>
      <c r="C1" s="119"/>
      <c r="D1" s="119"/>
      <c r="E1" s="119"/>
      <c r="F1" s="119" t="s">
        <v>470</v>
      </c>
    </row>
    <row r="2" spans="1:6" x14ac:dyDescent="0.2">
      <c r="A2" s="119"/>
      <c r="B2" s="119"/>
      <c r="C2" s="119"/>
      <c r="D2" s="119"/>
      <c r="E2" s="119"/>
      <c r="F2" s="119" t="s">
        <v>1023</v>
      </c>
    </row>
    <row r="3" spans="1:6" x14ac:dyDescent="0.2">
      <c r="A3" s="119"/>
      <c r="B3" s="119"/>
      <c r="C3" s="119"/>
      <c r="D3" s="119"/>
      <c r="E3" s="119"/>
      <c r="F3" s="119" t="s">
        <v>1024</v>
      </c>
    </row>
    <row r="4" spans="1:6" ht="15.75" x14ac:dyDescent="0.25">
      <c r="A4" s="560" t="s">
        <v>471</v>
      </c>
      <c r="B4" s="542"/>
      <c r="C4" s="542"/>
      <c r="D4" s="542"/>
      <c r="E4" s="542"/>
      <c r="F4" s="542"/>
    </row>
    <row r="5" spans="1:6" ht="15.75" x14ac:dyDescent="0.25">
      <c r="A5" s="560" t="s">
        <v>472</v>
      </c>
      <c r="B5" s="542"/>
      <c r="C5" s="542"/>
      <c r="D5" s="542"/>
      <c r="E5" s="542"/>
      <c r="F5" s="542"/>
    </row>
    <row r="6" spans="1:6" ht="15.75" x14ac:dyDescent="0.25">
      <c r="A6" s="561" t="s">
        <v>668</v>
      </c>
      <c r="B6" s="562"/>
      <c r="C6" s="562"/>
      <c r="D6" s="562"/>
      <c r="E6" s="562"/>
      <c r="F6" s="562"/>
    </row>
    <row r="7" spans="1:6" ht="59.25" customHeight="1" x14ac:dyDescent="0.2">
      <c r="A7" s="120" t="s">
        <v>473</v>
      </c>
      <c r="B7" s="121" t="s">
        <v>474</v>
      </c>
      <c r="C7" s="121" t="s">
        <v>38</v>
      </c>
      <c r="D7" s="121" t="s">
        <v>30</v>
      </c>
      <c r="E7" s="120" t="s">
        <v>475</v>
      </c>
      <c r="F7" s="122" t="s">
        <v>671</v>
      </c>
    </row>
    <row r="8" spans="1:6" ht="15.75" hidden="1" x14ac:dyDescent="0.2">
      <c r="A8" s="153">
        <v>1</v>
      </c>
      <c r="B8" s="201" t="s">
        <v>457</v>
      </c>
      <c r="C8" s="201" t="s">
        <v>458</v>
      </c>
      <c r="D8" s="201" t="s">
        <v>81</v>
      </c>
      <c r="E8" s="154" t="s">
        <v>599</v>
      </c>
      <c r="F8" s="155">
        <f>116000-116000</f>
        <v>0</v>
      </c>
    </row>
    <row r="9" spans="1:6" ht="78.75" hidden="1" x14ac:dyDescent="0.2">
      <c r="A9" s="153">
        <v>2</v>
      </c>
      <c r="B9" s="201" t="s">
        <v>457</v>
      </c>
      <c r="C9" s="201" t="s">
        <v>458</v>
      </c>
      <c r="D9" s="201" t="s">
        <v>81</v>
      </c>
      <c r="E9" s="154" t="s">
        <v>677</v>
      </c>
      <c r="F9" s="155">
        <f>130000-130000</f>
        <v>0</v>
      </c>
    </row>
    <row r="10" spans="1:6" s="368" customFormat="1" ht="15.75" hidden="1" x14ac:dyDescent="0.2">
      <c r="A10" s="153">
        <v>1</v>
      </c>
      <c r="B10" s="201"/>
      <c r="C10" s="201"/>
      <c r="D10" s="201"/>
      <c r="E10" s="154"/>
      <c r="F10" s="155"/>
    </row>
    <row r="11" spans="1:6" ht="78.75" x14ac:dyDescent="0.2">
      <c r="A11" s="153">
        <v>1</v>
      </c>
      <c r="B11" s="201" t="s">
        <v>457</v>
      </c>
      <c r="C11" s="201" t="s">
        <v>458</v>
      </c>
      <c r="D11" s="201" t="s">
        <v>81</v>
      </c>
      <c r="E11" s="156" t="s">
        <v>676</v>
      </c>
      <c r="F11" s="155">
        <v>115000</v>
      </c>
    </row>
    <row r="12" spans="1:6" ht="80.45" customHeight="1" x14ac:dyDescent="0.2">
      <c r="A12" s="153">
        <v>2</v>
      </c>
      <c r="B12" s="201" t="s">
        <v>457</v>
      </c>
      <c r="C12" s="201" t="s">
        <v>458</v>
      </c>
      <c r="D12" s="201" t="s">
        <v>81</v>
      </c>
      <c r="E12" s="156" t="s">
        <v>678</v>
      </c>
      <c r="F12" s="155">
        <v>39000</v>
      </c>
    </row>
    <row r="13" spans="1:6" s="368" customFormat="1" ht="80.45" customHeight="1" x14ac:dyDescent="0.2">
      <c r="A13" s="153">
        <v>3</v>
      </c>
      <c r="B13" s="201" t="s">
        <v>994</v>
      </c>
      <c r="C13" s="201" t="s">
        <v>995</v>
      </c>
      <c r="D13" s="380" t="s">
        <v>996</v>
      </c>
      <c r="E13" s="156" t="s">
        <v>997</v>
      </c>
      <c r="F13" s="381">
        <v>136800</v>
      </c>
    </row>
    <row r="14" spans="1:6" ht="78.75" x14ac:dyDescent="0.2">
      <c r="A14" s="153">
        <v>4</v>
      </c>
      <c r="B14" s="201" t="s">
        <v>459</v>
      </c>
      <c r="C14" s="201" t="s">
        <v>460</v>
      </c>
      <c r="D14" s="201" t="s">
        <v>83</v>
      </c>
      <c r="E14" s="156" t="s">
        <v>679</v>
      </c>
      <c r="F14" s="155">
        <f>100000-20800</f>
        <v>79200</v>
      </c>
    </row>
    <row r="15" spans="1:6" ht="110.25" x14ac:dyDescent="0.2">
      <c r="A15" s="230">
        <v>5</v>
      </c>
      <c r="B15" s="201" t="s">
        <v>457</v>
      </c>
      <c r="C15" s="201" t="s">
        <v>458</v>
      </c>
      <c r="D15" s="201" t="s">
        <v>81</v>
      </c>
      <c r="E15" s="231" t="s">
        <v>792</v>
      </c>
      <c r="F15" s="155">
        <f>344616+130000</f>
        <v>474616</v>
      </c>
    </row>
    <row r="16" spans="1:6" ht="63" x14ac:dyDescent="0.2">
      <c r="A16" s="230">
        <v>6</v>
      </c>
      <c r="B16" s="201" t="s">
        <v>457</v>
      </c>
      <c r="C16" s="201" t="s">
        <v>458</v>
      </c>
      <c r="D16" s="201" t="s">
        <v>81</v>
      </c>
      <c r="E16" s="231" t="s">
        <v>793</v>
      </c>
      <c r="F16" s="155">
        <v>90000</v>
      </c>
    </row>
    <row r="17" spans="1:7" ht="78.75" x14ac:dyDescent="0.2">
      <c r="A17" s="153">
        <v>7</v>
      </c>
      <c r="B17" s="201" t="s">
        <v>794</v>
      </c>
      <c r="C17" s="201" t="s">
        <v>795</v>
      </c>
      <c r="D17" s="201" t="s">
        <v>817</v>
      </c>
      <c r="E17" s="156" t="s">
        <v>796</v>
      </c>
      <c r="F17" s="155">
        <v>56289.96</v>
      </c>
    </row>
    <row r="18" spans="1:7" ht="15.75" x14ac:dyDescent="0.2">
      <c r="A18" s="563" t="s">
        <v>476</v>
      </c>
      <c r="B18" s="564"/>
      <c r="C18" s="564"/>
      <c r="D18" s="564"/>
      <c r="E18" s="565"/>
      <c r="F18" s="144">
        <f>SUM(F8:F17)</f>
        <v>990905.96</v>
      </c>
      <c r="G18" s="123" t="b">
        <f>F18='d3'!J180-'d3'!J182</f>
        <v>1</v>
      </c>
    </row>
    <row r="19" spans="1:7" ht="15.75" x14ac:dyDescent="0.2">
      <c r="A19" s="126"/>
      <c r="B19" s="126"/>
      <c r="C19" s="126"/>
      <c r="D19" s="126"/>
      <c r="E19" s="126"/>
      <c r="F19" s="127"/>
    </row>
    <row r="20" spans="1:7" ht="15.75" x14ac:dyDescent="0.2">
      <c r="A20" s="567" t="s">
        <v>1003</v>
      </c>
      <c r="B20" s="568"/>
      <c r="C20" s="568"/>
      <c r="D20" s="568"/>
      <c r="E20" s="167"/>
      <c r="F20" s="169" t="s">
        <v>1004</v>
      </c>
    </row>
    <row r="21" spans="1:7" ht="15.75" x14ac:dyDescent="0.2">
      <c r="A21" s="170"/>
      <c r="B21" s="170"/>
      <c r="C21" s="170"/>
      <c r="D21" s="170"/>
      <c r="E21" s="167"/>
      <c r="F21" s="168"/>
    </row>
    <row r="22" spans="1:7" ht="15.75" x14ac:dyDescent="0.25">
      <c r="A22" s="569"/>
      <c r="B22" s="569"/>
      <c r="C22" s="569"/>
      <c r="D22" s="569"/>
      <c r="E22" s="124"/>
      <c r="F22" s="124"/>
    </row>
    <row r="23" spans="1:7" ht="15.75" x14ac:dyDescent="0.2">
      <c r="A23" s="566"/>
      <c r="B23" s="566"/>
      <c r="C23" s="566"/>
      <c r="D23" s="566"/>
      <c r="E23" s="566"/>
      <c r="F23" s="125"/>
    </row>
    <row r="80" spans="7:7" x14ac:dyDescent="0.2">
      <c r="G80" s="457"/>
    </row>
    <row r="81" spans="7:7" x14ac:dyDescent="0.2">
      <c r="G81" s="457"/>
    </row>
    <row r="141" spans="7:10" ht="46.5" x14ac:dyDescent="0.65">
      <c r="J141" s="157"/>
    </row>
    <row r="144" spans="7:10" ht="46.5" x14ac:dyDescent="0.65">
      <c r="G144" s="157"/>
      <c r="J144" s="157"/>
    </row>
    <row r="163" spans="11:11" ht="90" x14ac:dyDescent="1.1499999999999999">
      <c r="K163" s="210" t="b">
        <f>G163=H163+I163</f>
        <v>1</v>
      </c>
    </row>
  </sheetData>
  <mergeCells count="8">
    <mergeCell ref="G80:G81"/>
    <mergeCell ref="A4:F4"/>
    <mergeCell ref="A5:F5"/>
    <mergeCell ref="A6:F6"/>
    <mergeCell ref="A18:E18"/>
    <mergeCell ref="A23:E23"/>
    <mergeCell ref="A20:D20"/>
    <mergeCell ref="A22:D22"/>
  </mergeCell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
    <pageSetUpPr fitToPage="1"/>
  </sheetPr>
  <dimension ref="A1:Q236"/>
  <sheetViews>
    <sheetView view="pageBreakPreview" zoomScale="25" zoomScaleNormal="25" zoomScaleSheetLayoutView="25" zoomScalePageLayoutView="10" workbookViewId="0">
      <pane ySplit="10" topLeftCell="A17" activePane="bottomLeft" state="frozen"/>
      <selection activeCell="K153" sqref="K153"/>
      <selection pane="bottomLeft" activeCell="I2" sqref="I2:J2"/>
    </sheetView>
  </sheetViews>
  <sheetFormatPr defaultRowHeight="12.75" x14ac:dyDescent="0.2"/>
  <cols>
    <col min="1" max="1" width="48" style="1" customWidth="1"/>
    <col min="2" max="2" width="52.5703125" style="1" customWidth="1"/>
    <col min="3" max="3" width="65.7109375" style="1" customWidth="1"/>
    <col min="4" max="4" width="106.28515625" style="1" customWidth="1"/>
    <col min="5" max="5" width="113.85546875" style="5" customWidth="1"/>
    <col min="6" max="6" width="114" style="1" customWidth="1"/>
    <col min="7" max="7" width="55.42578125" style="1" customWidth="1"/>
    <col min="8" max="8" width="89.85546875" style="1" customWidth="1"/>
    <col min="9" max="9" width="71.85546875" style="1" customWidth="1"/>
    <col min="10" max="10" width="86.28515625" style="5" customWidth="1"/>
    <col min="11" max="11" width="62.28515625" customWidth="1"/>
    <col min="12" max="12" width="52.7109375" bestFit="1" customWidth="1"/>
    <col min="13" max="13" width="56.7109375" bestFit="1" customWidth="1"/>
    <col min="17" max="17" width="70.28515625" customWidth="1"/>
  </cols>
  <sheetData>
    <row r="1" spans="1:13" ht="45.75" x14ac:dyDescent="0.2">
      <c r="D1" s="7"/>
      <c r="E1" s="8"/>
      <c r="F1" s="9"/>
      <c r="G1" s="8"/>
      <c r="H1" s="8"/>
      <c r="I1" s="470" t="s">
        <v>673</v>
      </c>
      <c r="J1" s="470"/>
    </row>
    <row r="2" spans="1:13" ht="45.75" x14ac:dyDescent="0.2">
      <c r="A2" s="7"/>
      <c r="B2" s="7"/>
      <c r="C2" s="7"/>
      <c r="D2" s="7"/>
      <c r="E2" s="8"/>
      <c r="F2" s="9"/>
      <c r="G2" s="8"/>
      <c r="H2" s="8"/>
      <c r="I2" s="470" t="s">
        <v>1025</v>
      </c>
      <c r="J2" s="472"/>
    </row>
    <row r="3" spans="1:13" ht="40.700000000000003" customHeight="1" x14ac:dyDescent="0.2">
      <c r="A3" s="7"/>
      <c r="B3" s="7"/>
      <c r="C3" s="7"/>
      <c r="D3" s="7"/>
      <c r="E3" s="8"/>
      <c r="F3" s="9"/>
      <c r="G3" s="8"/>
      <c r="H3" s="8"/>
      <c r="I3" s="470"/>
      <c r="J3" s="472"/>
    </row>
    <row r="4" spans="1:13" ht="45.75" hidden="1" x14ac:dyDescent="0.2">
      <c r="A4" s="7"/>
      <c r="B4" s="7"/>
      <c r="C4" s="7"/>
      <c r="D4" s="7"/>
      <c r="E4" s="8"/>
      <c r="F4" s="9"/>
      <c r="G4" s="8"/>
      <c r="H4" s="8"/>
      <c r="I4" s="7"/>
      <c r="J4" s="9"/>
    </row>
    <row r="5" spans="1:13" ht="45" x14ac:dyDescent="0.2">
      <c r="A5" s="474" t="s">
        <v>669</v>
      </c>
      <c r="B5" s="474"/>
      <c r="C5" s="474"/>
      <c r="D5" s="474"/>
      <c r="E5" s="474"/>
      <c r="F5" s="474"/>
      <c r="G5" s="474"/>
      <c r="H5" s="474"/>
      <c r="I5" s="474"/>
      <c r="J5" s="474"/>
    </row>
    <row r="6" spans="1:13" ht="45" x14ac:dyDescent="0.2">
      <c r="A6" s="474"/>
      <c r="B6" s="474"/>
      <c r="C6" s="474"/>
      <c r="D6" s="474"/>
      <c r="E6" s="474"/>
      <c r="F6" s="474"/>
      <c r="G6" s="474"/>
      <c r="H6" s="474"/>
      <c r="I6" s="474"/>
      <c r="J6" s="474"/>
    </row>
    <row r="7" spans="1:13" ht="53.45" customHeight="1" x14ac:dyDescent="0.2">
      <c r="A7" s="8"/>
      <c r="B7" s="8"/>
      <c r="C7" s="8"/>
      <c r="D7" s="8"/>
      <c r="E7" s="8"/>
      <c r="F7" s="9"/>
      <c r="G7" s="8"/>
      <c r="H7" s="8"/>
      <c r="I7" s="8"/>
      <c r="J7" s="10" t="s">
        <v>640</v>
      </c>
    </row>
    <row r="8" spans="1:13" ht="62.45" customHeight="1" x14ac:dyDescent="0.2">
      <c r="A8" s="478" t="s">
        <v>29</v>
      </c>
      <c r="B8" s="478" t="s">
        <v>641</v>
      </c>
      <c r="C8" s="478" t="s">
        <v>648</v>
      </c>
      <c r="D8" s="478" t="s">
        <v>642</v>
      </c>
      <c r="E8" s="478" t="s">
        <v>672</v>
      </c>
      <c r="F8" s="478" t="s">
        <v>674</v>
      </c>
      <c r="G8" s="478" t="s">
        <v>635</v>
      </c>
      <c r="H8" s="478" t="s">
        <v>25</v>
      </c>
      <c r="I8" s="483" t="s">
        <v>84</v>
      </c>
      <c r="J8" s="485"/>
    </row>
    <row r="9" spans="1:13" ht="409.6" customHeight="1" x14ac:dyDescent="0.2">
      <c r="A9" s="479"/>
      <c r="B9" s="481"/>
      <c r="C9" s="481"/>
      <c r="D9" s="479"/>
      <c r="E9" s="479"/>
      <c r="F9" s="479"/>
      <c r="G9" s="479"/>
      <c r="H9" s="479"/>
      <c r="I9" s="185" t="s">
        <v>636</v>
      </c>
      <c r="J9" s="185" t="s">
        <v>637</v>
      </c>
    </row>
    <row r="10" spans="1:13" s="2" customFormat="1" ht="111" customHeight="1" x14ac:dyDescent="0.2">
      <c r="A10" s="11" t="s">
        <v>4</v>
      </c>
      <c r="B10" s="11" t="s">
        <v>5</v>
      </c>
      <c r="C10" s="11" t="s">
        <v>27</v>
      </c>
      <c r="D10" s="11" t="s">
        <v>7</v>
      </c>
      <c r="E10" s="11" t="s">
        <v>651</v>
      </c>
      <c r="F10" s="11" t="s">
        <v>652</v>
      </c>
      <c r="G10" s="11" t="s">
        <v>653</v>
      </c>
      <c r="H10" s="11" t="s">
        <v>654</v>
      </c>
      <c r="I10" s="11" t="s">
        <v>655</v>
      </c>
      <c r="J10" s="11" t="s">
        <v>656</v>
      </c>
    </row>
    <row r="11" spans="1:13" s="2" customFormat="1" ht="135" x14ac:dyDescent="0.2">
      <c r="A11" s="327" t="s">
        <v>228</v>
      </c>
      <c r="B11" s="327"/>
      <c r="C11" s="327"/>
      <c r="D11" s="327" t="s">
        <v>230</v>
      </c>
      <c r="E11" s="327"/>
      <c r="F11" s="327"/>
      <c r="G11" s="399">
        <f>G12</f>
        <v>20445534</v>
      </c>
      <c r="H11" s="399">
        <f t="shared" ref="H11:J11" si="0">H12</f>
        <v>11913112</v>
      </c>
      <c r="I11" s="399">
        <f t="shared" si="0"/>
        <v>8532422</v>
      </c>
      <c r="J11" s="399">
        <f t="shared" si="0"/>
        <v>8532422</v>
      </c>
    </row>
    <row r="12" spans="1:13" s="2" customFormat="1" ht="135" x14ac:dyDescent="0.2">
      <c r="A12" s="324" t="s">
        <v>229</v>
      </c>
      <c r="B12" s="324"/>
      <c r="C12" s="324"/>
      <c r="D12" s="324" t="s">
        <v>231</v>
      </c>
      <c r="E12" s="324"/>
      <c r="F12" s="324"/>
      <c r="G12" s="400">
        <f>SUM(G13:G26)</f>
        <v>20445534</v>
      </c>
      <c r="H12" s="400">
        <f>SUM(H13:H26)</f>
        <v>11913112</v>
      </c>
      <c r="I12" s="400">
        <f>SUM(I13:I26)</f>
        <v>8532422</v>
      </c>
      <c r="J12" s="400">
        <f>SUM(J13:J26)</f>
        <v>8532422</v>
      </c>
    </row>
    <row r="13" spans="1:13" ht="320.25" x14ac:dyDescent="0.2">
      <c r="A13" s="394" t="s">
        <v>331</v>
      </c>
      <c r="B13" s="394" t="s">
        <v>332</v>
      </c>
      <c r="C13" s="394" t="s">
        <v>333</v>
      </c>
      <c r="D13" s="394" t="s">
        <v>330</v>
      </c>
      <c r="E13" s="344" t="s">
        <v>720</v>
      </c>
      <c r="F13" s="311" t="s">
        <v>719</v>
      </c>
      <c r="G13" s="311">
        <f>H13+I13</f>
        <v>1277574</v>
      </c>
      <c r="H13" s="249">
        <f>46500+195000+98500+23604</f>
        <v>363604</v>
      </c>
      <c r="I13" s="311">
        <f>660500+300000-46530</f>
        <v>913970</v>
      </c>
      <c r="J13" s="311">
        <f>660500+300000-46530</f>
        <v>913970</v>
      </c>
      <c r="K13" s="247" t="s">
        <v>915</v>
      </c>
      <c r="L13" s="238"/>
      <c r="M13">
        <v>46530</v>
      </c>
    </row>
    <row r="14" spans="1:13" ht="139.5" x14ac:dyDescent="0.2">
      <c r="A14" s="394" t="s">
        <v>347</v>
      </c>
      <c r="B14" s="394" t="s">
        <v>71</v>
      </c>
      <c r="C14" s="394" t="s">
        <v>70</v>
      </c>
      <c r="D14" s="394" t="s">
        <v>348</v>
      </c>
      <c r="E14" s="344" t="s">
        <v>845</v>
      </c>
      <c r="F14" s="311" t="s">
        <v>846</v>
      </c>
      <c r="G14" s="311">
        <f>H14+I14</f>
        <v>1000000</v>
      </c>
      <c r="H14" s="249">
        <v>1000000</v>
      </c>
      <c r="I14" s="311"/>
      <c r="J14" s="311"/>
    </row>
    <row r="15" spans="1:13" ht="228.75" x14ac:dyDescent="0.2">
      <c r="A15" s="394" t="s">
        <v>337</v>
      </c>
      <c r="B15" s="394" t="s">
        <v>338</v>
      </c>
      <c r="C15" s="394" t="s">
        <v>339</v>
      </c>
      <c r="D15" s="394" t="s">
        <v>336</v>
      </c>
      <c r="E15" s="344" t="s">
        <v>720</v>
      </c>
      <c r="F15" s="311" t="s">
        <v>719</v>
      </c>
      <c r="G15" s="311">
        <f>H15+I15</f>
        <v>6736400</v>
      </c>
      <c r="H15" s="311">
        <f>'d3'!E17</f>
        <v>3236400</v>
      </c>
      <c r="I15" s="311">
        <f>'d3'!J17</f>
        <v>3500000</v>
      </c>
      <c r="J15" s="311">
        <f>'d3'!K17</f>
        <v>3500000</v>
      </c>
      <c r="K15" s="239" t="b">
        <f>H15='d3'!E17</f>
        <v>1</v>
      </c>
      <c r="L15" s="186" t="b">
        <f>I15='d3'!J17</f>
        <v>1</v>
      </c>
      <c r="M15" s="187" t="b">
        <f>J15='d3'!K17</f>
        <v>1</v>
      </c>
    </row>
    <row r="16" spans="1:13" ht="91.5" hidden="1" x14ac:dyDescent="0.2">
      <c r="A16" s="394" t="s">
        <v>484</v>
      </c>
      <c r="B16" s="279" t="s">
        <v>287</v>
      </c>
      <c r="C16" s="279" t="s">
        <v>250</v>
      </c>
      <c r="D16" s="394" t="s">
        <v>57</v>
      </c>
      <c r="E16" s="393"/>
      <c r="F16" s="311"/>
      <c r="G16" s="311">
        <f t="shared" ref="G16" si="1">H16+I16</f>
        <v>0</v>
      </c>
      <c r="H16" s="311"/>
      <c r="I16" s="311"/>
      <c r="J16" s="311"/>
    </row>
    <row r="17" spans="1:17" ht="279" x14ac:dyDescent="0.2">
      <c r="A17" s="394" t="s">
        <v>340</v>
      </c>
      <c r="B17" s="394" t="s">
        <v>341</v>
      </c>
      <c r="C17" s="394" t="s">
        <v>342</v>
      </c>
      <c r="D17" s="389" t="s">
        <v>343</v>
      </c>
      <c r="E17" s="311" t="s">
        <v>722</v>
      </c>
      <c r="F17" s="311" t="s">
        <v>721</v>
      </c>
      <c r="G17" s="311">
        <f>H17+I17</f>
        <v>4573000</v>
      </c>
      <c r="H17" s="311">
        <f>'d3'!E21</f>
        <v>4573000</v>
      </c>
      <c r="I17" s="311">
        <f>'d3'!J21</f>
        <v>0</v>
      </c>
      <c r="J17" s="311">
        <f>'d3'!K21</f>
        <v>0</v>
      </c>
      <c r="K17" s="239" t="b">
        <f>H17='d3'!E21</f>
        <v>1</v>
      </c>
      <c r="L17" s="186" t="b">
        <f>I17='d3'!J21</f>
        <v>1</v>
      </c>
      <c r="M17" s="187" t="b">
        <f>J17='d3'!K21</f>
        <v>1</v>
      </c>
    </row>
    <row r="18" spans="1:17" ht="137.25" x14ac:dyDescent="0.2">
      <c r="A18" s="394" t="s">
        <v>840</v>
      </c>
      <c r="B18" s="394" t="s">
        <v>587</v>
      </c>
      <c r="C18" s="394" t="s">
        <v>71</v>
      </c>
      <c r="D18" s="394" t="s">
        <v>588</v>
      </c>
      <c r="E18" s="344" t="s">
        <v>785</v>
      </c>
      <c r="F18" s="396" t="s">
        <v>786</v>
      </c>
      <c r="G18" s="311">
        <f>H18+I18</f>
        <v>100000</v>
      </c>
      <c r="H18" s="311">
        <f>'d3'!E23</f>
        <v>0</v>
      </c>
      <c r="I18" s="311">
        <f>'d3'!J23</f>
        <v>100000</v>
      </c>
      <c r="J18" s="311">
        <f>'d3'!K23</f>
        <v>100000</v>
      </c>
      <c r="K18" s="239" t="b">
        <f>H18='d3'!E23</f>
        <v>1</v>
      </c>
      <c r="L18" s="186" t="b">
        <f>I18='d3'!J23</f>
        <v>1</v>
      </c>
      <c r="M18" s="187" t="b">
        <f>J18='d3'!K23</f>
        <v>1</v>
      </c>
      <c r="Q18" s="186"/>
    </row>
    <row r="19" spans="1:17" ht="372" x14ac:dyDescent="0.2">
      <c r="A19" s="394" t="s">
        <v>842</v>
      </c>
      <c r="B19" s="394" t="s">
        <v>843</v>
      </c>
      <c r="C19" s="394" t="s">
        <v>71</v>
      </c>
      <c r="D19" s="394" t="s">
        <v>841</v>
      </c>
      <c r="E19" s="311" t="s">
        <v>849</v>
      </c>
      <c r="F19" s="396" t="s">
        <v>848</v>
      </c>
      <c r="G19" s="311">
        <f>H19+I19</f>
        <v>3364560</v>
      </c>
      <c r="H19" s="311">
        <f>(500000+41830+69700+500000+275000+12818+222560+26000+65200+27000+100000)+300000</f>
        <v>2140108</v>
      </c>
      <c r="I19" s="311">
        <f>58170+30300+400000+500000+25000+37182+15000+74000+84800</f>
        <v>1224452</v>
      </c>
      <c r="J19" s="311">
        <f>58170+30300+400000+500000+25000+37182+15000+74000+84800</f>
        <v>1224452</v>
      </c>
      <c r="K19" s="239" t="b">
        <f>'d3'!E24='d8'!H19+'d8'!H21+'d8'!H22+'d8'!H23+'d8'!H24+K25+H20</f>
        <v>1</v>
      </c>
      <c r="L19" s="186" t="b">
        <f>'d3'!J24='d8'!I19+'d8'!I21+'d8'!I22+'d8'!I23+'d8'!I24+'d8'!L25</f>
        <v>1</v>
      </c>
      <c r="M19" s="187" t="b">
        <f>'d3'!K24='d8'!J19+'d8'!J21+'d8'!J22+'d8'!J23+'d8'!J24+'d8'!L25</f>
        <v>1</v>
      </c>
    </row>
    <row r="20" spans="1:17" s="444" customFormat="1" ht="409.5" x14ac:dyDescent="0.2">
      <c r="A20" s="454" t="s">
        <v>842</v>
      </c>
      <c r="B20" s="454" t="s">
        <v>843</v>
      </c>
      <c r="C20" s="454" t="s">
        <v>71</v>
      </c>
      <c r="D20" s="454" t="s">
        <v>841</v>
      </c>
      <c r="E20" s="311" t="s">
        <v>1015</v>
      </c>
      <c r="F20" s="396" t="s">
        <v>1016</v>
      </c>
      <c r="G20" s="311">
        <f>H20+I20</f>
        <v>70000</v>
      </c>
      <c r="H20" s="311">
        <v>70000</v>
      </c>
      <c r="I20" s="311"/>
      <c r="J20" s="311"/>
      <c r="K20" s="239"/>
      <c r="L20" s="186"/>
      <c r="M20" s="187"/>
    </row>
    <row r="21" spans="1:17" ht="372" x14ac:dyDescent="0.2">
      <c r="A21" s="394" t="s">
        <v>842</v>
      </c>
      <c r="B21" s="394" t="s">
        <v>843</v>
      </c>
      <c r="C21" s="394" t="s">
        <v>71</v>
      </c>
      <c r="D21" s="394" t="s">
        <v>841</v>
      </c>
      <c r="E21" s="311" t="s">
        <v>853</v>
      </c>
      <c r="F21" s="396" t="s">
        <v>852</v>
      </c>
      <c r="G21" s="311">
        <f t="shared" ref="G21:G25" si="2">H21+I21</f>
        <v>1400000</v>
      </c>
      <c r="H21" s="311">
        <v>200000</v>
      </c>
      <c r="I21" s="311">
        <v>1200000</v>
      </c>
      <c r="J21" s="311">
        <v>1200000</v>
      </c>
      <c r="K21" s="186"/>
      <c r="L21" s="186"/>
      <c r="M21" s="187"/>
    </row>
    <row r="22" spans="1:17" ht="382.7" customHeight="1" x14ac:dyDescent="0.2">
      <c r="A22" s="394" t="s">
        <v>842</v>
      </c>
      <c r="B22" s="394" t="s">
        <v>843</v>
      </c>
      <c r="C22" s="394" t="s">
        <v>71</v>
      </c>
      <c r="D22" s="394" t="s">
        <v>841</v>
      </c>
      <c r="E22" s="311" t="s">
        <v>855</v>
      </c>
      <c r="F22" s="396" t="s">
        <v>854</v>
      </c>
      <c r="G22" s="311">
        <f t="shared" si="2"/>
        <v>130000</v>
      </c>
      <c r="H22" s="311">
        <v>130000</v>
      </c>
      <c r="I22" s="311"/>
      <c r="J22" s="311"/>
      <c r="K22" s="186"/>
      <c r="L22" s="186"/>
      <c r="M22" s="187"/>
    </row>
    <row r="23" spans="1:17" ht="409.5" x14ac:dyDescent="0.2">
      <c r="A23" s="394" t="s">
        <v>842</v>
      </c>
      <c r="B23" s="394" t="s">
        <v>843</v>
      </c>
      <c r="C23" s="394" t="s">
        <v>71</v>
      </c>
      <c r="D23" s="394" t="s">
        <v>841</v>
      </c>
      <c r="E23" s="396" t="s">
        <v>856</v>
      </c>
      <c r="F23" s="396" t="s">
        <v>857</v>
      </c>
      <c r="G23" s="311">
        <f t="shared" si="2"/>
        <v>100000</v>
      </c>
      <c r="H23" s="311">
        <v>100000</v>
      </c>
      <c r="I23" s="311"/>
      <c r="J23" s="311"/>
      <c r="K23" s="186"/>
      <c r="L23" s="186"/>
      <c r="M23" s="187"/>
    </row>
    <row r="24" spans="1:17" ht="232.5" x14ac:dyDescent="0.2">
      <c r="A24" s="394" t="s">
        <v>842</v>
      </c>
      <c r="B24" s="394" t="s">
        <v>843</v>
      </c>
      <c r="C24" s="394" t="s">
        <v>71</v>
      </c>
      <c r="D24" s="394" t="s">
        <v>841</v>
      </c>
      <c r="E24" s="311" t="s">
        <v>859</v>
      </c>
      <c r="F24" s="396" t="s">
        <v>858</v>
      </c>
      <c r="G24" s="311">
        <f t="shared" si="2"/>
        <v>1500000</v>
      </c>
      <c r="H24" s="311"/>
      <c r="I24" s="311">
        <f>(1000000)+500000</f>
        <v>1500000</v>
      </c>
      <c r="J24" s="311">
        <f>(1000000)+500000</f>
        <v>1500000</v>
      </c>
      <c r="K24" s="186"/>
      <c r="L24" s="186"/>
      <c r="M24" s="187"/>
    </row>
    <row r="25" spans="1:17" ht="397.5" customHeight="1" x14ac:dyDescent="0.65">
      <c r="A25" s="476" t="s">
        <v>842</v>
      </c>
      <c r="B25" s="476" t="s">
        <v>843</v>
      </c>
      <c r="C25" s="476" t="s">
        <v>71</v>
      </c>
      <c r="D25" s="476" t="s">
        <v>841</v>
      </c>
      <c r="E25" s="397" t="s">
        <v>860</v>
      </c>
      <c r="F25" s="476" t="s">
        <v>861</v>
      </c>
      <c r="G25" s="491">
        <f t="shared" si="2"/>
        <v>194000</v>
      </c>
      <c r="H25" s="482">
        <v>100000</v>
      </c>
      <c r="I25" s="482">
        <v>94000</v>
      </c>
      <c r="J25" s="482">
        <v>94000</v>
      </c>
      <c r="K25" s="186">
        <f>H25</f>
        <v>100000</v>
      </c>
      <c r="L25" s="186">
        <f>I25</f>
        <v>94000</v>
      </c>
      <c r="M25" s="187"/>
    </row>
    <row r="26" spans="1:17" ht="129" customHeight="1" x14ac:dyDescent="0.2">
      <c r="A26" s="477"/>
      <c r="B26" s="477"/>
      <c r="C26" s="477"/>
      <c r="D26" s="477"/>
      <c r="E26" s="398" t="s">
        <v>862</v>
      </c>
      <c r="F26" s="477"/>
      <c r="G26" s="477"/>
      <c r="H26" s="496"/>
      <c r="I26" s="496"/>
      <c r="J26" s="496"/>
      <c r="K26" s="186"/>
      <c r="L26" s="186"/>
      <c r="M26" s="187"/>
    </row>
    <row r="27" spans="1:17" ht="135" x14ac:dyDescent="0.2">
      <c r="A27" s="327" t="s">
        <v>232</v>
      </c>
      <c r="B27" s="327"/>
      <c r="C27" s="327"/>
      <c r="D27" s="327" t="s">
        <v>0</v>
      </c>
      <c r="E27" s="327"/>
      <c r="F27" s="327"/>
      <c r="G27" s="399">
        <f>G28</f>
        <v>1157331836.4400001</v>
      </c>
      <c r="H27" s="399">
        <f t="shared" ref="H27:J27" si="3">H28</f>
        <v>1009891823.4</v>
      </c>
      <c r="I27" s="399">
        <f t="shared" si="3"/>
        <v>147440013.03999999</v>
      </c>
      <c r="J27" s="399">
        <f t="shared" si="3"/>
        <v>42828398.039999999</v>
      </c>
      <c r="K27" s="186" t="b">
        <f>H27='d3'!E26</f>
        <v>1</v>
      </c>
      <c r="L27" s="186" t="b">
        <f>I27='d3'!J26</f>
        <v>1</v>
      </c>
      <c r="M27" s="187" t="b">
        <f>J27='d3'!K25</f>
        <v>1</v>
      </c>
    </row>
    <row r="28" spans="1:17" ht="135" x14ac:dyDescent="0.2">
      <c r="A28" s="324" t="s">
        <v>233</v>
      </c>
      <c r="B28" s="324"/>
      <c r="C28" s="324"/>
      <c r="D28" s="324" t="s">
        <v>1</v>
      </c>
      <c r="E28" s="324"/>
      <c r="F28" s="324"/>
      <c r="G28" s="400">
        <f>SUM(G29:G44)</f>
        <v>1157331836.4400001</v>
      </c>
      <c r="H28" s="400">
        <f>SUM(H29:H44)</f>
        <v>1009891823.4</v>
      </c>
      <c r="I28" s="400">
        <f>SUM(I29:I44)</f>
        <v>147440013.03999999</v>
      </c>
      <c r="J28" s="400">
        <f>SUM(J29:J44)</f>
        <v>42828398.039999999</v>
      </c>
    </row>
    <row r="29" spans="1:17" ht="145.5" customHeight="1" x14ac:dyDescent="0.2">
      <c r="A29" s="394" t="s">
        <v>288</v>
      </c>
      <c r="B29" s="394" t="s">
        <v>289</v>
      </c>
      <c r="C29" s="394" t="s">
        <v>291</v>
      </c>
      <c r="D29" s="394" t="s">
        <v>292</v>
      </c>
      <c r="E29" s="344" t="s">
        <v>731</v>
      </c>
      <c r="F29" s="311" t="s">
        <v>699</v>
      </c>
      <c r="G29" s="311">
        <f t="shared" ref="G29:G39" si="4">H29+I29</f>
        <v>325941887</v>
      </c>
      <c r="H29" s="311">
        <f>'d3'!E27</f>
        <v>279390771</v>
      </c>
      <c r="I29" s="311">
        <f>'d3'!J27</f>
        <v>46551116</v>
      </c>
      <c r="J29" s="311">
        <f>'d3'!K27</f>
        <v>6430696</v>
      </c>
    </row>
    <row r="30" spans="1:17" ht="320.25" x14ac:dyDescent="0.2">
      <c r="A30" s="394" t="s">
        <v>294</v>
      </c>
      <c r="B30" s="394" t="s">
        <v>290</v>
      </c>
      <c r="C30" s="394" t="s">
        <v>295</v>
      </c>
      <c r="D30" s="394" t="s">
        <v>293</v>
      </c>
      <c r="E30" s="344" t="s">
        <v>731</v>
      </c>
      <c r="F30" s="311" t="s">
        <v>699</v>
      </c>
      <c r="G30" s="311">
        <f t="shared" si="4"/>
        <v>629539581.43999994</v>
      </c>
      <c r="H30" s="311">
        <f>'d3'!E28-H31-H32</f>
        <v>561500742.39999998</v>
      </c>
      <c r="I30" s="311">
        <f>'d3'!J28-I31-I32</f>
        <v>68038839.039999992</v>
      </c>
      <c r="J30" s="311">
        <f>'d3'!K28-J31-J32</f>
        <v>26091479.039999999</v>
      </c>
    </row>
    <row r="31" spans="1:17" ht="320.25" x14ac:dyDescent="0.2">
      <c r="A31" s="394" t="s">
        <v>294</v>
      </c>
      <c r="B31" s="394" t="s">
        <v>290</v>
      </c>
      <c r="C31" s="394" t="s">
        <v>295</v>
      </c>
      <c r="D31" s="394" t="s">
        <v>293</v>
      </c>
      <c r="E31" s="344" t="s">
        <v>732</v>
      </c>
      <c r="F31" s="396" t="s">
        <v>690</v>
      </c>
      <c r="G31" s="311">
        <f t="shared" si="4"/>
        <v>4532500</v>
      </c>
      <c r="H31" s="311">
        <v>4532500</v>
      </c>
      <c r="I31" s="311"/>
      <c r="J31" s="311"/>
    </row>
    <row r="32" spans="1:17" ht="320.25" x14ac:dyDescent="0.2">
      <c r="A32" s="394" t="s">
        <v>294</v>
      </c>
      <c r="B32" s="394" t="s">
        <v>290</v>
      </c>
      <c r="C32" s="394" t="s">
        <v>295</v>
      </c>
      <c r="D32" s="394" t="s">
        <v>293</v>
      </c>
      <c r="E32" s="344" t="s">
        <v>726</v>
      </c>
      <c r="F32" s="409" t="s">
        <v>725</v>
      </c>
      <c r="G32" s="311">
        <f t="shared" si="4"/>
        <v>399644</v>
      </c>
      <c r="H32" s="311">
        <f>(8920+49900+70680)+17500</f>
        <v>147000</v>
      </c>
      <c r="I32" s="311">
        <f>(69030+130614+70500)-17500</f>
        <v>252644</v>
      </c>
      <c r="J32" s="311">
        <f>(69030+130614+70500)-17500</f>
        <v>252644</v>
      </c>
    </row>
    <row r="33" spans="1:13" ht="320.25" x14ac:dyDescent="0.2">
      <c r="A33" s="394" t="s">
        <v>298</v>
      </c>
      <c r="B33" s="394" t="s">
        <v>297</v>
      </c>
      <c r="C33" s="394" t="s">
        <v>299</v>
      </c>
      <c r="D33" s="394" t="s">
        <v>32</v>
      </c>
      <c r="E33" s="344" t="s">
        <v>731</v>
      </c>
      <c r="F33" s="311" t="s">
        <v>699</v>
      </c>
      <c r="G33" s="311">
        <f t="shared" si="4"/>
        <v>16483878</v>
      </c>
      <c r="H33" s="311">
        <f>'d3'!E29-H34</f>
        <v>16394878</v>
      </c>
      <c r="I33" s="311">
        <f>'d3'!J29-I34</f>
        <v>89000</v>
      </c>
      <c r="J33" s="311">
        <f>'d3'!K29-J34</f>
        <v>39000</v>
      </c>
    </row>
    <row r="34" spans="1:13" ht="320.25" x14ac:dyDescent="0.2">
      <c r="A34" s="394" t="s">
        <v>298</v>
      </c>
      <c r="B34" s="394" t="s">
        <v>297</v>
      </c>
      <c r="C34" s="394" t="s">
        <v>299</v>
      </c>
      <c r="D34" s="394" t="s">
        <v>32</v>
      </c>
      <c r="E34" s="344" t="s">
        <v>732</v>
      </c>
      <c r="F34" s="396" t="s">
        <v>690</v>
      </c>
      <c r="G34" s="311">
        <f t="shared" si="4"/>
        <v>20000</v>
      </c>
      <c r="H34" s="311">
        <v>20000</v>
      </c>
      <c r="I34" s="311"/>
      <c r="J34" s="311"/>
    </row>
    <row r="35" spans="1:13" ht="183" x14ac:dyDescent="0.2">
      <c r="A35" s="394" t="s">
        <v>300</v>
      </c>
      <c r="B35" s="394" t="s">
        <v>281</v>
      </c>
      <c r="C35" s="394" t="s">
        <v>269</v>
      </c>
      <c r="D35" s="394" t="s">
        <v>33</v>
      </c>
      <c r="E35" s="344" t="s">
        <v>731</v>
      </c>
      <c r="F35" s="311" t="s">
        <v>699</v>
      </c>
      <c r="G35" s="311">
        <f t="shared" si="4"/>
        <v>38273001</v>
      </c>
      <c r="H35" s="311">
        <f>'d3'!E30-H36</f>
        <v>29321331</v>
      </c>
      <c r="I35" s="311">
        <f>'d3'!J30-I36</f>
        <v>8951670</v>
      </c>
      <c r="J35" s="311">
        <f>'d3'!K30-J36</f>
        <v>4238000</v>
      </c>
    </row>
    <row r="36" spans="1:13" ht="183" x14ac:dyDescent="0.2">
      <c r="A36" s="394" t="s">
        <v>300</v>
      </c>
      <c r="B36" s="394" t="s">
        <v>281</v>
      </c>
      <c r="C36" s="394" t="s">
        <v>269</v>
      </c>
      <c r="D36" s="394" t="s">
        <v>33</v>
      </c>
      <c r="E36" s="344" t="s">
        <v>726</v>
      </c>
      <c r="F36" s="409" t="s">
        <v>725</v>
      </c>
      <c r="G36" s="311">
        <f t="shared" si="4"/>
        <v>149982</v>
      </c>
      <c r="H36" s="311">
        <f>95167+54815</f>
        <v>149982</v>
      </c>
      <c r="I36" s="311"/>
      <c r="J36" s="311"/>
    </row>
    <row r="37" spans="1:13" ht="139.5" x14ac:dyDescent="0.2">
      <c r="A37" s="394" t="s">
        <v>301</v>
      </c>
      <c r="B37" s="394" t="s">
        <v>302</v>
      </c>
      <c r="C37" s="394" t="s">
        <v>303</v>
      </c>
      <c r="D37" s="394" t="s">
        <v>304</v>
      </c>
      <c r="E37" s="344" t="s">
        <v>731</v>
      </c>
      <c r="F37" s="311" t="s">
        <v>699</v>
      </c>
      <c r="G37" s="311">
        <f t="shared" si="4"/>
        <v>112158235</v>
      </c>
      <c r="H37" s="311">
        <f>'d3'!E31</f>
        <v>94366927</v>
      </c>
      <c r="I37" s="311">
        <f>'d3'!J31</f>
        <v>17791308</v>
      </c>
      <c r="J37" s="311">
        <f>'d3'!K31</f>
        <v>413523</v>
      </c>
    </row>
    <row r="38" spans="1:13" ht="139.5" x14ac:dyDescent="0.2">
      <c r="A38" s="394" t="s">
        <v>306</v>
      </c>
      <c r="B38" s="394" t="s">
        <v>307</v>
      </c>
      <c r="C38" s="394" t="s">
        <v>308</v>
      </c>
      <c r="D38" s="394" t="s">
        <v>305</v>
      </c>
      <c r="E38" s="344" t="s">
        <v>731</v>
      </c>
      <c r="F38" s="311" t="s">
        <v>699</v>
      </c>
      <c r="G38" s="311">
        <f t="shared" si="4"/>
        <v>4691910</v>
      </c>
      <c r="H38" s="311">
        <f>'d3'!E32</f>
        <v>4618170</v>
      </c>
      <c r="I38" s="311">
        <f>'d3'!J32</f>
        <v>73740</v>
      </c>
      <c r="J38" s="311">
        <f>'d3'!K32</f>
        <v>0</v>
      </c>
    </row>
    <row r="39" spans="1:13" ht="175.7" customHeight="1" x14ac:dyDescent="0.2">
      <c r="A39" s="389" t="s">
        <v>491</v>
      </c>
      <c r="B39" s="394" t="s">
        <v>492</v>
      </c>
      <c r="C39" s="394" t="s">
        <v>308</v>
      </c>
      <c r="D39" s="394" t="s">
        <v>490</v>
      </c>
      <c r="E39" s="344" t="s">
        <v>731</v>
      </c>
      <c r="F39" s="311" t="s">
        <v>699</v>
      </c>
      <c r="G39" s="311">
        <f t="shared" si="4"/>
        <v>15665380</v>
      </c>
      <c r="H39" s="311">
        <f>'d3'!E33</f>
        <v>15312740</v>
      </c>
      <c r="I39" s="311">
        <f>'d3'!J33</f>
        <v>352640</v>
      </c>
      <c r="J39" s="311">
        <f>'d3'!K33</f>
        <v>24000</v>
      </c>
    </row>
    <row r="40" spans="1:13" ht="172.5" customHeight="1" x14ac:dyDescent="0.2">
      <c r="A40" s="389" t="s">
        <v>523</v>
      </c>
      <c r="B40" s="394" t="s">
        <v>524</v>
      </c>
      <c r="C40" s="394" t="s">
        <v>308</v>
      </c>
      <c r="D40" s="394" t="s">
        <v>522</v>
      </c>
      <c r="E40" s="344" t="s">
        <v>731</v>
      </c>
      <c r="F40" s="311" t="s">
        <v>699</v>
      </c>
      <c r="G40" s="311">
        <f>H40+I40</f>
        <v>150770</v>
      </c>
      <c r="H40" s="311">
        <f>'d3'!E34</f>
        <v>150770</v>
      </c>
      <c r="I40" s="311">
        <f>'d3'!J34</f>
        <v>0</v>
      </c>
      <c r="J40" s="311">
        <f>'d3'!K34</f>
        <v>0</v>
      </c>
    </row>
    <row r="41" spans="1:13" ht="139.5" x14ac:dyDescent="0.2">
      <c r="A41" s="389" t="s">
        <v>797</v>
      </c>
      <c r="B41" s="389" t="s">
        <v>798</v>
      </c>
      <c r="C41" s="389" t="s">
        <v>308</v>
      </c>
      <c r="D41" s="394" t="s">
        <v>799</v>
      </c>
      <c r="E41" s="344" t="s">
        <v>731</v>
      </c>
      <c r="F41" s="311" t="s">
        <v>699</v>
      </c>
      <c r="G41" s="311">
        <f>H41+I41</f>
        <v>2261012</v>
      </c>
      <c r="H41" s="311">
        <f>'d3'!E35</f>
        <v>2061012</v>
      </c>
      <c r="I41" s="311">
        <f>'d3'!J35</f>
        <v>200000</v>
      </c>
      <c r="J41" s="311">
        <f>'d3'!K35</f>
        <v>200000</v>
      </c>
    </row>
    <row r="42" spans="1:13" ht="320.25" x14ac:dyDescent="0.2">
      <c r="A42" s="394" t="s">
        <v>801</v>
      </c>
      <c r="B42" s="394" t="s">
        <v>802</v>
      </c>
      <c r="C42" s="394" t="s">
        <v>273</v>
      </c>
      <c r="D42" s="394" t="s">
        <v>800</v>
      </c>
      <c r="E42" s="344" t="s">
        <v>731</v>
      </c>
      <c r="F42" s="311" t="s">
        <v>699</v>
      </c>
      <c r="G42" s="311">
        <f>H42+I42</f>
        <v>1925000</v>
      </c>
      <c r="H42" s="311">
        <f>'d3'!E36</f>
        <v>1925000</v>
      </c>
      <c r="I42" s="311">
        <f>'d3'!J36</f>
        <v>0</v>
      </c>
      <c r="J42" s="311">
        <f>'d3'!K36</f>
        <v>0</v>
      </c>
    </row>
    <row r="43" spans="1:13" s="337" customFormat="1" ht="183" x14ac:dyDescent="0.2">
      <c r="A43" s="394" t="s">
        <v>975</v>
      </c>
      <c r="B43" s="394" t="s">
        <v>974</v>
      </c>
      <c r="C43" s="394" t="s">
        <v>285</v>
      </c>
      <c r="D43" s="394" t="s">
        <v>976</v>
      </c>
      <c r="E43" s="344" t="s">
        <v>731</v>
      </c>
      <c r="F43" s="311" t="s">
        <v>699</v>
      </c>
      <c r="G43" s="311">
        <f>H43+I43</f>
        <v>1499056</v>
      </c>
      <c r="H43" s="311">
        <f>'d3'!E37</f>
        <v>0</v>
      </c>
      <c r="I43" s="311">
        <f>'d3'!J37</f>
        <v>1499056</v>
      </c>
      <c r="J43" s="311">
        <f>'d3'!K37</f>
        <v>1499056</v>
      </c>
    </row>
    <row r="44" spans="1:13" ht="172.5" customHeight="1" x14ac:dyDescent="0.2">
      <c r="A44" s="394" t="s">
        <v>310</v>
      </c>
      <c r="B44" s="394" t="s">
        <v>311</v>
      </c>
      <c r="C44" s="394" t="s">
        <v>312</v>
      </c>
      <c r="D44" s="394" t="s">
        <v>67</v>
      </c>
      <c r="E44" s="344" t="s">
        <v>785</v>
      </c>
      <c r="F44" s="396" t="s">
        <v>786</v>
      </c>
      <c r="G44" s="311">
        <f t="shared" ref="G44" si="5">H44+I44</f>
        <v>3640000</v>
      </c>
      <c r="H44" s="311">
        <f>'d3'!E38</f>
        <v>0</v>
      </c>
      <c r="I44" s="311">
        <f>'d3'!J38</f>
        <v>3640000</v>
      </c>
      <c r="J44" s="311">
        <f>'d3'!K38</f>
        <v>3640000</v>
      </c>
      <c r="K44" s="574"/>
      <c r="L44" s="457"/>
      <c r="M44" s="457"/>
    </row>
    <row r="45" spans="1:13" ht="135" x14ac:dyDescent="0.2">
      <c r="A45" s="327" t="s">
        <v>234</v>
      </c>
      <c r="B45" s="327"/>
      <c r="C45" s="327"/>
      <c r="D45" s="327" t="s">
        <v>36</v>
      </c>
      <c r="E45" s="327"/>
      <c r="F45" s="327"/>
      <c r="G45" s="399">
        <f>G46</f>
        <v>399650574.38</v>
      </c>
      <c r="H45" s="399">
        <f t="shared" ref="H45:J45" si="6">H46</f>
        <v>362862196.38</v>
      </c>
      <c r="I45" s="399">
        <f t="shared" si="6"/>
        <v>36788378</v>
      </c>
      <c r="J45" s="399">
        <f t="shared" si="6"/>
        <v>30192587</v>
      </c>
      <c r="K45" s="186" t="b">
        <f>H45='d3'!E39-'d3'!P41</f>
        <v>1</v>
      </c>
      <c r="L45" s="186" t="b">
        <f>I45='d3'!J39</f>
        <v>1</v>
      </c>
      <c r="M45" s="187" t="b">
        <f>J45='d3'!K39</f>
        <v>1</v>
      </c>
    </row>
    <row r="46" spans="1:13" ht="135" x14ac:dyDescent="0.2">
      <c r="A46" s="324" t="s">
        <v>235</v>
      </c>
      <c r="B46" s="324"/>
      <c r="C46" s="324"/>
      <c r="D46" s="324" t="s">
        <v>59</v>
      </c>
      <c r="E46" s="324"/>
      <c r="F46" s="324"/>
      <c r="G46" s="400">
        <f>SUM(G47:G60)</f>
        <v>399650574.38</v>
      </c>
      <c r="H46" s="400">
        <f>SUM(H47:H60)</f>
        <v>362862196.38</v>
      </c>
      <c r="I46" s="400">
        <f>SUM(I47:I60)</f>
        <v>36788378</v>
      </c>
      <c r="J46" s="400">
        <f>SUM(J47:J60)</f>
        <v>30192587</v>
      </c>
    </row>
    <row r="47" spans="1:13" ht="139.5" x14ac:dyDescent="0.2">
      <c r="A47" s="394" t="s">
        <v>313</v>
      </c>
      <c r="B47" s="394" t="s">
        <v>309</v>
      </c>
      <c r="C47" s="394" t="s">
        <v>314</v>
      </c>
      <c r="D47" s="394" t="s">
        <v>37</v>
      </c>
      <c r="E47" s="311" t="s">
        <v>869</v>
      </c>
      <c r="F47" s="311" t="s">
        <v>696</v>
      </c>
      <c r="G47" s="311">
        <f>H47+I47</f>
        <v>222425446</v>
      </c>
      <c r="H47" s="311">
        <f>'d3'!E42-H48</f>
        <v>200934712</v>
      </c>
      <c r="I47" s="311">
        <f>'d3'!J42</f>
        <v>21490734</v>
      </c>
      <c r="J47" s="311">
        <f>'d3'!K42</f>
        <v>19028034</v>
      </c>
    </row>
    <row r="48" spans="1:13" s="245" customFormat="1" ht="183" x14ac:dyDescent="0.2">
      <c r="A48" s="394" t="s">
        <v>313</v>
      </c>
      <c r="B48" s="394" t="s">
        <v>309</v>
      </c>
      <c r="C48" s="394" t="s">
        <v>314</v>
      </c>
      <c r="D48" s="394" t="s">
        <v>37</v>
      </c>
      <c r="E48" s="344" t="s">
        <v>726</v>
      </c>
      <c r="F48" s="409" t="s">
        <v>725</v>
      </c>
      <c r="G48" s="311">
        <f>H48+I48</f>
        <v>82930</v>
      </c>
      <c r="H48" s="311">
        <f>82930</f>
        <v>82930</v>
      </c>
      <c r="I48" s="311">
        <v>0</v>
      </c>
      <c r="J48" s="311">
        <v>0</v>
      </c>
    </row>
    <row r="49" spans="1:13" ht="139.5" x14ac:dyDescent="0.2">
      <c r="A49" s="394" t="s">
        <v>315</v>
      </c>
      <c r="B49" s="394" t="s">
        <v>316</v>
      </c>
      <c r="C49" s="394" t="s">
        <v>317</v>
      </c>
      <c r="D49" s="394" t="s">
        <v>318</v>
      </c>
      <c r="E49" s="311" t="s">
        <v>869</v>
      </c>
      <c r="F49" s="311" t="s">
        <v>696</v>
      </c>
      <c r="G49" s="311">
        <f t="shared" ref="G49:G56" si="7">H49+I49</f>
        <v>60325591</v>
      </c>
      <c r="H49" s="311">
        <f>'d3'!E43</f>
        <v>59853500</v>
      </c>
      <c r="I49" s="311">
        <f>'d3'!J43</f>
        <v>472091</v>
      </c>
      <c r="J49" s="311">
        <f>'d3'!K43</f>
        <v>126000</v>
      </c>
    </row>
    <row r="50" spans="1:13" ht="172.5" customHeight="1" x14ac:dyDescent="0.2">
      <c r="A50" s="394" t="s">
        <v>319</v>
      </c>
      <c r="B50" s="394" t="s">
        <v>320</v>
      </c>
      <c r="C50" s="394" t="s">
        <v>321</v>
      </c>
      <c r="D50" s="394" t="s">
        <v>538</v>
      </c>
      <c r="E50" s="311" t="s">
        <v>869</v>
      </c>
      <c r="F50" s="311" t="s">
        <v>696</v>
      </c>
      <c r="G50" s="311">
        <f t="shared" si="7"/>
        <v>63431670</v>
      </c>
      <c r="H50" s="311">
        <f>'d3'!E44</f>
        <v>60725370</v>
      </c>
      <c r="I50" s="311">
        <f>'d3'!J44</f>
        <v>2706300</v>
      </c>
      <c r="J50" s="311">
        <f>'d3'!K44</f>
        <v>840600</v>
      </c>
    </row>
    <row r="51" spans="1:13" ht="172.5" customHeight="1" x14ac:dyDescent="0.2">
      <c r="A51" s="394" t="s">
        <v>322</v>
      </c>
      <c r="B51" s="394" t="s">
        <v>323</v>
      </c>
      <c r="C51" s="394" t="s">
        <v>324</v>
      </c>
      <c r="D51" s="394" t="s">
        <v>325</v>
      </c>
      <c r="E51" s="311" t="s">
        <v>869</v>
      </c>
      <c r="F51" s="311" t="s">
        <v>696</v>
      </c>
      <c r="G51" s="311">
        <f t="shared" si="7"/>
        <v>12671250</v>
      </c>
      <c r="H51" s="311">
        <f>'d3'!E45-H52</f>
        <v>9171950</v>
      </c>
      <c r="I51" s="311">
        <f>'d3'!J45-I52</f>
        <v>3499300</v>
      </c>
      <c r="J51" s="311">
        <f>'d3'!K45-J52</f>
        <v>1600000</v>
      </c>
    </row>
    <row r="52" spans="1:13" ht="274.5" x14ac:dyDescent="0.2">
      <c r="A52" s="394" t="s">
        <v>322</v>
      </c>
      <c r="B52" s="394" t="s">
        <v>323</v>
      </c>
      <c r="C52" s="394" t="s">
        <v>324</v>
      </c>
      <c r="D52" s="394" t="s">
        <v>325</v>
      </c>
      <c r="E52" s="344" t="s">
        <v>910</v>
      </c>
      <c r="F52" s="396" t="s">
        <v>691</v>
      </c>
      <c r="G52" s="311">
        <f t="shared" si="7"/>
        <v>700000</v>
      </c>
      <c r="H52" s="311">
        <f>700000-649000+649000</f>
        <v>700000</v>
      </c>
      <c r="I52" s="311"/>
      <c r="J52" s="311"/>
    </row>
    <row r="53" spans="1:13" ht="183" x14ac:dyDescent="0.2">
      <c r="A53" s="394" t="s">
        <v>326</v>
      </c>
      <c r="B53" s="389" t="s">
        <v>327</v>
      </c>
      <c r="C53" s="389" t="s">
        <v>539</v>
      </c>
      <c r="D53" s="394" t="s">
        <v>328</v>
      </c>
      <c r="E53" s="311" t="s">
        <v>869</v>
      </c>
      <c r="F53" s="311" t="s">
        <v>696</v>
      </c>
      <c r="G53" s="311">
        <f t="shared" si="7"/>
        <v>8952218</v>
      </c>
      <c r="H53" s="311">
        <f>'d3'!E46</f>
        <v>8952218</v>
      </c>
      <c r="I53" s="311">
        <f>'d3'!J46</f>
        <v>0</v>
      </c>
      <c r="J53" s="311">
        <f>'d3'!K46</f>
        <v>0</v>
      </c>
    </row>
    <row r="54" spans="1:13" ht="139.5" x14ac:dyDescent="0.2">
      <c r="A54" s="394" t="s">
        <v>577</v>
      </c>
      <c r="B54" s="394" t="s">
        <v>578</v>
      </c>
      <c r="C54" s="389" t="s">
        <v>329</v>
      </c>
      <c r="D54" s="269" t="s">
        <v>579</v>
      </c>
      <c r="E54" s="311" t="s">
        <v>869</v>
      </c>
      <c r="F54" s="311" t="s">
        <v>696</v>
      </c>
      <c r="G54" s="311">
        <f t="shared" si="7"/>
        <v>13244446.379999999</v>
      </c>
      <c r="H54" s="311">
        <f>'d3'!E47</f>
        <v>13244446.379999999</v>
      </c>
      <c r="I54" s="311"/>
      <c r="J54" s="311"/>
    </row>
    <row r="55" spans="1:13" ht="139.5" x14ac:dyDescent="0.2">
      <c r="A55" s="394" t="s">
        <v>582</v>
      </c>
      <c r="B55" s="394" t="s">
        <v>581</v>
      </c>
      <c r="C55" s="389" t="s">
        <v>329</v>
      </c>
      <c r="D55" s="269" t="s">
        <v>580</v>
      </c>
      <c r="E55" s="311" t="s">
        <v>869</v>
      </c>
      <c r="F55" s="311" t="s">
        <v>696</v>
      </c>
      <c r="G55" s="311">
        <f t="shared" si="7"/>
        <v>1966200</v>
      </c>
      <c r="H55" s="311">
        <f>'d3'!E48</f>
        <v>1966200</v>
      </c>
      <c r="I55" s="311"/>
      <c r="J55" s="311"/>
    </row>
    <row r="56" spans="1:13" s="118" customFormat="1" ht="160.5" customHeight="1" x14ac:dyDescent="0.2">
      <c r="A56" s="394" t="s">
        <v>495</v>
      </c>
      <c r="B56" s="394" t="s">
        <v>497</v>
      </c>
      <c r="C56" s="389" t="s">
        <v>329</v>
      </c>
      <c r="D56" s="269" t="s">
        <v>493</v>
      </c>
      <c r="E56" s="311" t="s">
        <v>869</v>
      </c>
      <c r="F56" s="311" t="s">
        <v>696</v>
      </c>
      <c r="G56" s="311">
        <f t="shared" si="7"/>
        <v>2444374</v>
      </c>
      <c r="H56" s="311">
        <f>'d3'!E49</f>
        <v>2314670</v>
      </c>
      <c r="I56" s="311">
        <f>'d3'!J49</f>
        <v>129704</v>
      </c>
      <c r="J56" s="311">
        <f>'d3'!K49</f>
        <v>107704</v>
      </c>
    </row>
    <row r="57" spans="1:13" s="118" customFormat="1" ht="166.7" customHeight="1" x14ac:dyDescent="0.2">
      <c r="A57" s="394" t="s">
        <v>496</v>
      </c>
      <c r="B57" s="394" t="s">
        <v>498</v>
      </c>
      <c r="C57" s="389" t="s">
        <v>329</v>
      </c>
      <c r="D57" s="269" t="s">
        <v>494</v>
      </c>
      <c r="E57" s="311" t="s">
        <v>869</v>
      </c>
      <c r="F57" s="311" t="s">
        <v>696</v>
      </c>
      <c r="G57" s="311">
        <f>H57+I57</f>
        <v>4766200</v>
      </c>
      <c r="H57" s="311">
        <f>'d3'!E50</f>
        <v>4766200</v>
      </c>
      <c r="I57" s="311">
        <f>'d3'!J50</f>
        <v>0</v>
      </c>
      <c r="J57" s="311">
        <f>'d3'!K50</f>
        <v>0</v>
      </c>
    </row>
    <row r="58" spans="1:13" s="118" customFormat="1" ht="166.7" customHeight="1" x14ac:dyDescent="0.2">
      <c r="A58" s="394" t="s">
        <v>863</v>
      </c>
      <c r="B58" s="394" t="s">
        <v>287</v>
      </c>
      <c r="C58" s="394" t="s">
        <v>250</v>
      </c>
      <c r="D58" s="394" t="s">
        <v>57</v>
      </c>
      <c r="E58" s="311" t="s">
        <v>869</v>
      </c>
      <c r="F58" s="311" t="s">
        <v>696</v>
      </c>
      <c r="G58" s="311">
        <f>H58+I58</f>
        <v>6729842</v>
      </c>
      <c r="H58" s="311"/>
      <c r="I58" s="311">
        <f>'d3'!J51-I59</f>
        <v>6729842</v>
      </c>
      <c r="J58" s="311">
        <f>'d3'!K51-J59</f>
        <v>6729842</v>
      </c>
    </row>
    <row r="59" spans="1:13" s="118" customFormat="1" ht="232.5" customHeight="1" x14ac:dyDescent="0.2">
      <c r="A59" s="394" t="s">
        <v>863</v>
      </c>
      <c r="B59" s="394" t="s">
        <v>287</v>
      </c>
      <c r="C59" s="394" t="s">
        <v>250</v>
      </c>
      <c r="D59" s="394" t="s">
        <v>57</v>
      </c>
      <c r="E59" s="344" t="s">
        <v>726</v>
      </c>
      <c r="F59" s="409" t="s">
        <v>725</v>
      </c>
      <c r="G59" s="311">
        <f>H59+I59</f>
        <v>215650</v>
      </c>
      <c r="H59" s="311"/>
      <c r="I59" s="311">
        <v>215650</v>
      </c>
      <c r="J59" s="311">
        <v>215650</v>
      </c>
    </row>
    <row r="60" spans="1:13" s="118" customFormat="1" ht="166.7" customHeight="1" x14ac:dyDescent="0.2">
      <c r="A60" s="394" t="s">
        <v>865</v>
      </c>
      <c r="B60" s="394" t="s">
        <v>587</v>
      </c>
      <c r="C60" s="394" t="s">
        <v>71</v>
      </c>
      <c r="D60" s="394" t="s">
        <v>588</v>
      </c>
      <c r="E60" s="311" t="s">
        <v>869</v>
      </c>
      <c r="F60" s="311" t="s">
        <v>696</v>
      </c>
      <c r="G60" s="311">
        <f>H60+I60</f>
        <v>1694757</v>
      </c>
      <c r="H60" s="311">
        <f>'d3'!E52</f>
        <v>150000</v>
      </c>
      <c r="I60" s="311">
        <f>'d3'!J52</f>
        <v>1544757</v>
      </c>
      <c r="J60" s="311">
        <f>'d3'!K52</f>
        <v>1544757</v>
      </c>
    </row>
    <row r="61" spans="1:13" ht="180" x14ac:dyDescent="0.2">
      <c r="A61" s="327" t="s">
        <v>236</v>
      </c>
      <c r="B61" s="327"/>
      <c r="C61" s="327"/>
      <c r="D61" s="327" t="s">
        <v>60</v>
      </c>
      <c r="E61" s="327"/>
      <c r="F61" s="327"/>
      <c r="G61" s="399">
        <f>G62</f>
        <v>684043848</v>
      </c>
      <c r="H61" s="399">
        <f t="shared" ref="H61:J61" si="8">H62</f>
        <v>673400361</v>
      </c>
      <c r="I61" s="399">
        <f t="shared" si="8"/>
        <v>10643487</v>
      </c>
      <c r="J61" s="399">
        <f t="shared" si="8"/>
        <v>10534087</v>
      </c>
      <c r="K61" s="186" t="b">
        <f>H61='d3'!E54-'d3'!E55</f>
        <v>1</v>
      </c>
      <c r="L61" s="186" t="b">
        <f>I61='d3'!J53-'d3'!J55-'d3'!Q109-'d3'!J91-'d3'!J98-'d3'!J107+I63-'d3'!J94</f>
        <v>1</v>
      </c>
      <c r="M61" s="187" t="b">
        <f>J61='d3'!K54-'d3'!K55-'d3'!K91-'d3'!K98-'d3'!K107+J63-'d3'!K94</f>
        <v>1</v>
      </c>
    </row>
    <row r="62" spans="1:13" ht="180" x14ac:dyDescent="0.2">
      <c r="A62" s="324" t="s">
        <v>237</v>
      </c>
      <c r="B62" s="324"/>
      <c r="C62" s="324"/>
      <c r="D62" s="324" t="s">
        <v>61</v>
      </c>
      <c r="E62" s="324"/>
      <c r="F62" s="324"/>
      <c r="G62" s="400">
        <f>SUM(G63:G109)</f>
        <v>684043848</v>
      </c>
      <c r="H62" s="400">
        <f>SUM(H63:H109)</f>
        <v>673400361</v>
      </c>
      <c r="I62" s="400">
        <f>SUM(I63:I109)</f>
        <v>10643487</v>
      </c>
      <c r="J62" s="400">
        <f>SUM(J63:J109)</f>
        <v>10534087</v>
      </c>
      <c r="L62" s="146"/>
    </row>
    <row r="63" spans="1:13" s="297" customFormat="1" ht="228.75" x14ac:dyDescent="0.2">
      <c r="A63" s="394" t="s">
        <v>704</v>
      </c>
      <c r="B63" s="394" t="s">
        <v>335</v>
      </c>
      <c r="C63" s="394" t="s">
        <v>333</v>
      </c>
      <c r="D63" s="394" t="s">
        <v>334</v>
      </c>
      <c r="E63" s="344" t="s">
        <v>720</v>
      </c>
      <c r="F63" s="311" t="s">
        <v>719</v>
      </c>
      <c r="G63" s="311">
        <f t="shared" ref="G63:G64" si="9">H63+I63</f>
        <v>49000</v>
      </c>
      <c r="H63" s="391">
        <v>0</v>
      </c>
      <c r="I63" s="391">
        <v>49000</v>
      </c>
      <c r="J63" s="416">
        <v>49000</v>
      </c>
      <c r="L63" s="146"/>
    </row>
    <row r="64" spans="1:13" ht="183" x14ac:dyDescent="0.2">
      <c r="A64" s="389" t="s">
        <v>350</v>
      </c>
      <c r="B64" s="389" t="s">
        <v>351</v>
      </c>
      <c r="C64" s="389" t="s">
        <v>296</v>
      </c>
      <c r="D64" s="395" t="s">
        <v>349</v>
      </c>
      <c r="E64" s="344" t="s">
        <v>732</v>
      </c>
      <c r="F64" s="396" t="s">
        <v>690</v>
      </c>
      <c r="G64" s="311">
        <f t="shared" si="9"/>
        <v>81315555.920000002</v>
      </c>
      <c r="H64" s="391">
        <f>'d3'!E56</f>
        <v>81315555.920000002</v>
      </c>
      <c r="I64" s="391">
        <f>'d3'!J56</f>
        <v>0</v>
      </c>
      <c r="J64" s="416">
        <f>'d3'!K56</f>
        <v>0</v>
      </c>
    </row>
    <row r="65" spans="1:10" ht="137.25" x14ac:dyDescent="0.2">
      <c r="A65" s="271" t="s">
        <v>369</v>
      </c>
      <c r="B65" s="389" t="s">
        <v>370</v>
      </c>
      <c r="C65" s="389" t="s">
        <v>79</v>
      </c>
      <c r="D65" s="394" t="s">
        <v>8</v>
      </c>
      <c r="E65" s="344" t="s">
        <v>732</v>
      </c>
      <c r="F65" s="396" t="s">
        <v>690</v>
      </c>
      <c r="G65" s="311">
        <f>H65+I65</f>
        <v>73735644.079999998</v>
      </c>
      <c r="H65" s="391">
        <f>'d3'!E57</f>
        <v>73735644.079999998</v>
      </c>
      <c r="I65" s="391">
        <f>'d3'!J57</f>
        <v>0</v>
      </c>
      <c r="J65" s="416">
        <f>'d3'!K57</f>
        <v>0</v>
      </c>
    </row>
    <row r="66" spans="1:10" ht="228.75" x14ac:dyDescent="0.2">
      <c r="A66" s="394" t="s">
        <v>372</v>
      </c>
      <c r="B66" s="394" t="s">
        <v>373</v>
      </c>
      <c r="C66" s="394" t="s">
        <v>296</v>
      </c>
      <c r="D66" s="250" t="s">
        <v>371</v>
      </c>
      <c r="E66" s="344" t="s">
        <v>732</v>
      </c>
      <c r="F66" s="396" t="s">
        <v>690</v>
      </c>
      <c r="G66" s="311">
        <f t="shared" ref="G66" si="10">H66+I66</f>
        <v>3000</v>
      </c>
      <c r="H66" s="391">
        <f>'d3'!E58</f>
        <v>3000</v>
      </c>
      <c r="I66" s="391">
        <f>'d3'!J58</f>
        <v>0</v>
      </c>
      <c r="J66" s="416">
        <f>'d3'!K58</f>
        <v>0</v>
      </c>
    </row>
    <row r="67" spans="1:10" ht="228.75" x14ac:dyDescent="0.2">
      <c r="A67" s="394" t="s">
        <v>374</v>
      </c>
      <c r="B67" s="394" t="s">
        <v>375</v>
      </c>
      <c r="C67" s="250">
        <v>1060</v>
      </c>
      <c r="D67" s="272" t="s">
        <v>19</v>
      </c>
      <c r="E67" s="344" t="s">
        <v>732</v>
      </c>
      <c r="F67" s="396" t="s">
        <v>690</v>
      </c>
      <c r="G67" s="311">
        <f t="shared" ref="G67:G87" si="11">H67+I67</f>
        <v>46300</v>
      </c>
      <c r="H67" s="391">
        <f>'d3'!E59</f>
        <v>46300</v>
      </c>
      <c r="I67" s="391">
        <f>'d3'!J59</f>
        <v>0</v>
      </c>
      <c r="J67" s="416">
        <f>'d3'!K59</f>
        <v>0</v>
      </c>
    </row>
    <row r="68" spans="1:10" s="118" customFormat="1" ht="137.25" x14ac:dyDescent="0.2">
      <c r="A68" s="389" t="s">
        <v>400</v>
      </c>
      <c r="B68" s="389" t="s">
        <v>401</v>
      </c>
      <c r="C68" s="389" t="s">
        <v>296</v>
      </c>
      <c r="D68" s="395" t="s">
        <v>402</v>
      </c>
      <c r="E68" s="344" t="s">
        <v>732</v>
      </c>
      <c r="F68" s="396" t="s">
        <v>690</v>
      </c>
      <c r="G68" s="311">
        <f t="shared" si="11"/>
        <v>526970</v>
      </c>
      <c r="H68" s="391">
        <f>'d3'!E60</f>
        <v>426970</v>
      </c>
      <c r="I68" s="391">
        <f>'d3'!J60</f>
        <v>100000</v>
      </c>
      <c r="J68" s="391">
        <f>'d3'!K60</f>
        <v>100000</v>
      </c>
    </row>
    <row r="69" spans="1:10" s="118" customFormat="1" ht="137.25" x14ac:dyDescent="0.2">
      <c r="A69" s="394" t="s">
        <v>403</v>
      </c>
      <c r="B69" s="394" t="s">
        <v>404</v>
      </c>
      <c r="C69" s="394" t="s">
        <v>297</v>
      </c>
      <c r="D69" s="394" t="s">
        <v>16</v>
      </c>
      <c r="E69" s="344" t="s">
        <v>732</v>
      </c>
      <c r="F69" s="396" t="s">
        <v>690</v>
      </c>
      <c r="G69" s="311">
        <f t="shared" si="11"/>
        <v>1365000</v>
      </c>
      <c r="H69" s="311">
        <f>'d3'!E61</f>
        <v>1365000</v>
      </c>
      <c r="I69" s="311">
        <f>'d3'!J61</f>
        <v>0</v>
      </c>
      <c r="J69" s="417">
        <f>'d3'!K61</f>
        <v>0</v>
      </c>
    </row>
    <row r="70" spans="1:10" s="118" customFormat="1" ht="183" x14ac:dyDescent="0.2">
      <c r="A70" s="394" t="s">
        <v>406</v>
      </c>
      <c r="B70" s="394" t="s">
        <v>407</v>
      </c>
      <c r="C70" s="394" t="s">
        <v>297</v>
      </c>
      <c r="D70" s="389" t="s">
        <v>17</v>
      </c>
      <c r="E70" s="344" t="s">
        <v>732</v>
      </c>
      <c r="F70" s="396" t="s">
        <v>690</v>
      </c>
      <c r="G70" s="311">
        <f t="shared" si="11"/>
        <v>8000000</v>
      </c>
      <c r="H70" s="311">
        <f>'d3'!E62</f>
        <v>8000000</v>
      </c>
      <c r="I70" s="311">
        <f>'d3'!J62</f>
        <v>0</v>
      </c>
      <c r="J70" s="311">
        <f>'d3'!K62</f>
        <v>0</v>
      </c>
    </row>
    <row r="71" spans="1:10" s="118" customFormat="1" ht="183" x14ac:dyDescent="0.2">
      <c r="A71" s="389" t="s">
        <v>408</v>
      </c>
      <c r="B71" s="389" t="s">
        <v>405</v>
      </c>
      <c r="C71" s="389" t="s">
        <v>297</v>
      </c>
      <c r="D71" s="389" t="s">
        <v>18</v>
      </c>
      <c r="E71" s="344" t="s">
        <v>732</v>
      </c>
      <c r="F71" s="396" t="s">
        <v>690</v>
      </c>
      <c r="G71" s="311">
        <f t="shared" si="11"/>
        <v>600000</v>
      </c>
      <c r="H71" s="311">
        <f>'d3'!E63</f>
        <v>600000</v>
      </c>
      <c r="I71" s="311">
        <f>'d3'!J63</f>
        <v>0</v>
      </c>
      <c r="J71" s="311">
        <f>'d3'!K63</f>
        <v>0</v>
      </c>
    </row>
    <row r="72" spans="1:10" s="118" customFormat="1" ht="183" x14ac:dyDescent="0.2">
      <c r="A72" s="389" t="s">
        <v>409</v>
      </c>
      <c r="B72" s="389" t="s">
        <v>410</v>
      </c>
      <c r="C72" s="389" t="s">
        <v>297</v>
      </c>
      <c r="D72" s="389" t="s">
        <v>21</v>
      </c>
      <c r="E72" s="344" t="s">
        <v>732</v>
      </c>
      <c r="F72" s="396" t="s">
        <v>690</v>
      </c>
      <c r="G72" s="311">
        <f t="shared" si="11"/>
        <v>91460181</v>
      </c>
      <c r="H72" s="311">
        <f>'d3'!E64</f>
        <v>91460181</v>
      </c>
      <c r="I72" s="311">
        <f>'d3'!J64</f>
        <v>0</v>
      </c>
      <c r="J72" s="311">
        <f>'d3'!K64</f>
        <v>0</v>
      </c>
    </row>
    <row r="73" spans="1:10" s="118" customFormat="1" ht="137.25" x14ac:dyDescent="0.2">
      <c r="A73" s="394" t="s">
        <v>360</v>
      </c>
      <c r="B73" s="394" t="s">
        <v>352</v>
      </c>
      <c r="C73" s="394" t="s">
        <v>273</v>
      </c>
      <c r="D73" s="394" t="s">
        <v>10</v>
      </c>
      <c r="E73" s="344" t="s">
        <v>732</v>
      </c>
      <c r="F73" s="396" t="s">
        <v>690</v>
      </c>
      <c r="G73" s="311">
        <f t="shared" si="11"/>
        <v>2814000</v>
      </c>
      <c r="H73" s="311">
        <f>'d3'!E65</f>
        <v>2814000</v>
      </c>
      <c r="I73" s="311">
        <f>'d3'!J65</f>
        <v>0</v>
      </c>
      <c r="J73" s="311">
        <f>'d3'!K65</f>
        <v>0</v>
      </c>
    </row>
    <row r="74" spans="1:10" s="118" customFormat="1" ht="137.25" x14ac:dyDescent="0.2">
      <c r="A74" s="394" t="s">
        <v>361</v>
      </c>
      <c r="B74" s="394" t="s">
        <v>353</v>
      </c>
      <c r="C74" s="394" t="s">
        <v>273</v>
      </c>
      <c r="D74" s="394" t="s">
        <v>359</v>
      </c>
      <c r="E74" s="344" t="s">
        <v>732</v>
      </c>
      <c r="F74" s="396" t="s">
        <v>690</v>
      </c>
      <c r="G74" s="311">
        <f t="shared" si="11"/>
        <v>571520</v>
      </c>
      <c r="H74" s="311">
        <f>'d3'!E66</f>
        <v>571520</v>
      </c>
      <c r="I74" s="311">
        <f>'d3'!J66</f>
        <v>0</v>
      </c>
      <c r="J74" s="311">
        <f>'d3'!K66</f>
        <v>0</v>
      </c>
    </row>
    <row r="75" spans="1:10" s="118" customFormat="1" ht="137.25" x14ac:dyDescent="0.2">
      <c r="A75" s="394" t="s">
        <v>362</v>
      </c>
      <c r="B75" s="394" t="s">
        <v>354</v>
      </c>
      <c r="C75" s="394" t="s">
        <v>273</v>
      </c>
      <c r="D75" s="394" t="s">
        <v>11</v>
      </c>
      <c r="E75" s="344" t="s">
        <v>732</v>
      </c>
      <c r="F75" s="396" t="s">
        <v>690</v>
      </c>
      <c r="G75" s="311">
        <f t="shared" si="11"/>
        <v>135281196</v>
      </c>
      <c r="H75" s="311">
        <f>'d3'!E67</f>
        <v>135281196</v>
      </c>
      <c r="I75" s="311">
        <f>'d3'!J67</f>
        <v>0</v>
      </c>
      <c r="J75" s="311">
        <f>'d3'!K67</f>
        <v>0</v>
      </c>
    </row>
    <row r="76" spans="1:10" s="118" customFormat="1" ht="137.25" x14ac:dyDescent="0.2">
      <c r="A76" s="394" t="s">
        <v>363</v>
      </c>
      <c r="B76" s="394" t="s">
        <v>355</v>
      </c>
      <c r="C76" s="394" t="s">
        <v>273</v>
      </c>
      <c r="D76" s="394" t="s">
        <v>12</v>
      </c>
      <c r="E76" s="344" t="s">
        <v>732</v>
      </c>
      <c r="F76" s="396" t="s">
        <v>690</v>
      </c>
      <c r="G76" s="311">
        <f t="shared" si="11"/>
        <v>4266000</v>
      </c>
      <c r="H76" s="311">
        <f>'d3'!E68</f>
        <v>4266000</v>
      </c>
      <c r="I76" s="311">
        <f>'d3'!J68</f>
        <v>0</v>
      </c>
      <c r="J76" s="311">
        <f>'d3'!K68</f>
        <v>0</v>
      </c>
    </row>
    <row r="77" spans="1:10" s="118" customFormat="1" ht="137.25" x14ac:dyDescent="0.2">
      <c r="A77" s="394" t="s">
        <v>364</v>
      </c>
      <c r="B77" s="394" t="s">
        <v>356</v>
      </c>
      <c r="C77" s="394" t="s">
        <v>273</v>
      </c>
      <c r="D77" s="394" t="s">
        <v>13</v>
      </c>
      <c r="E77" s="344" t="s">
        <v>732</v>
      </c>
      <c r="F77" s="396" t="s">
        <v>690</v>
      </c>
      <c r="G77" s="311">
        <f t="shared" si="11"/>
        <v>27062400</v>
      </c>
      <c r="H77" s="311">
        <f>'d3'!E69</f>
        <v>27062400</v>
      </c>
      <c r="I77" s="311">
        <f>'d3'!J69</f>
        <v>0</v>
      </c>
      <c r="J77" s="311">
        <f>'d3'!K69</f>
        <v>0</v>
      </c>
    </row>
    <row r="78" spans="1:10" s="118" customFormat="1" ht="137.25" x14ac:dyDescent="0.2">
      <c r="A78" s="394" t="s">
        <v>365</v>
      </c>
      <c r="B78" s="394" t="s">
        <v>357</v>
      </c>
      <c r="C78" s="394" t="s">
        <v>273</v>
      </c>
      <c r="D78" s="394" t="s">
        <v>14</v>
      </c>
      <c r="E78" s="344" t="s">
        <v>732</v>
      </c>
      <c r="F78" s="396" t="s">
        <v>690</v>
      </c>
      <c r="G78" s="311">
        <f t="shared" si="11"/>
        <v>2700000</v>
      </c>
      <c r="H78" s="311">
        <f>'d3'!E70</f>
        <v>2700000</v>
      </c>
      <c r="I78" s="311">
        <f>'d3'!J70</f>
        <v>0</v>
      </c>
      <c r="J78" s="311">
        <f>'d3'!K70</f>
        <v>0</v>
      </c>
    </row>
    <row r="79" spans="1:10" s="118" customFormat="1" ht="137.25" x14ac:dyDescent="0.2">
      <c r="A79" s="394" t="s">
        <v>366</v>
      </c>
      <c r="B79" s="394" t="s">
        <v>358</v>
      </c>
      <c r="C79" s="394" t="s">
        <v>273</v>
      </c>
      <c r="D79" s="394" t="s">
        <v>15</v>
      </c>
      <c r="E79" s="344" t="s">
        <v>732</v>
      </c>
      <c r="F79" s="396" t="s">
        <v>690</v>
      </c>
      <c r="G79" s="311">
        <f>H79+I79</f>
        <v>39337958</v>
      </c>
      <c r="H79" s="311">
        <f>'d3'!E71</f>
        <v>39337958</v>
      </c>
      <c r="I79" s="311">
        <f>'d3'!J71</f>
        <v>0</v>
      </c>
      <c r="J79" s="311">
        <f>'d3'!K71</f>
        <v>0</v>
      </c>
    </row>
    <row r="80" spans="1:10" s="118" customFormat="1" ht="137.25" x14ac:dyDescent="0.2">
      <c r="A80" s="394" t="s">
        <v>883</v>
      </c>
      <c r="B80" s="394" t="s">
        <v>885</v>
      </c>
      <c r="C80" s="394" t="s">
        <v>273</v>
      </c>
      <c r="D80" s="394" t="s">
        <v>884</v>
      </c>
      <c r="E80" s="344" t="s">
        <v>732</v>
      </c>
      <c r="F80" s="396" t="s">
        <v>690</v>
      </c>
      <c r="G80" s="311">
        <f>H80+I80</f>
        <v>963000</v>
      </c>
      <c r="H80" s="311">
        <f>'d3'!E72</f>
        <v>963000</v>
      </c>
      <c r="I80" s="311">
        <f>'d3'!J72</f>
        <v>0</v>
      </c>
      <c r="J80" s="311">
        <f>'d3'!K72</f>
        <v>0</v>
      </c>
    </row>
    <row r="81" spans="1:10" ht="137.25" x14ac:dyDescent="0.2">
      <c r="A81" s="394" t="s">
        <v>376</v>
      </c>
      <c r="B81" s="394" t="s">
        <v>367</v>
      </c>
      <c r="C81" s="394" t="s">
        <v>297</v>
      </c>
      <c r="D81" s="394" t="s">
        <v>9</v>
      </c>
      <c r="E81" s="344" t="s">
        <v>732</v>
      </c>
      <c r="F81" s="396" t="s">
        <v>690</v>
      </c>
      <c r="G81" s="311">
        <f t="shared" si="11"/>
        <v>179080</v>
      </c>
      <c r="H81" s="311">
        <f>'d3'!E73</f>
        <v>179080</v>
      </c>
      <c r="I81" s="311">
        <f>'d3'!J73</f>
        <v>0</v>
      </c>
      <c r="J81" s="311">
        <f>'d3'!K73</f>
        <v>0</v>
      </c>
    </row>
    <row r="82" spans="1:10" s="118" customFormat="1" ht="137.25" x14ac:dyDescent="0.2">
      <c r="A82" s="394" t="s">
        <v>543</v>
      </c>
      <c r="B82" s="394" t="s">
        <v>544</v>
      </c>
      <c r="C82" s="394" t="s">
        <v>289</v>
      </c>
      <c r="D82" s="394" t="s">
        <v>542</v>
      </c>
      <c r="E82" s="344" t="s">
        <v>732</v>
      </c>
      <c r="F82" s="396" t="s">
        <v>690</v>
      </c>
      <c r="G82" s="311">
        <f t="shared" si="11"/>
        <v>78472603.400000006</v>
      </c>
      <c r="H82" s="311">
        <f>'d3'!E74</f>
        <v>78472603.400000006</v>
      </c>
      <c r="I82" s="311">
        <f>'d3'!J74</f>
        <v>0</v>
      </c>
      <c r="J82" s="311">
        <f>'d3'!K74</f>
        <v>0</v>
      </c>
    </row>
    <row r="83" spans="1:10" s="118" customFormat="1" ht="228.75" x14ac:dyDescent="0.2">
      <c r="A83" s="394" t="s">
        <v>600</v>
      </c>
      <c r="B83" s="394" t="s">
        <v>601</v>
      </c>
      <c r="C83" s="394" t="s">
        <v>289</v>
      </c>
      <c r="D83" s="394" t="s">
        <v>602</v>
      </c>
      <c r="E83" s="344" t="s">
        <v>732</v>
      </c>
      <c r="F83" s="396" t="s">
        <v>690</v>
      </c>
      <c r="G83" s="311">
        <f t="shared" si="11"/>
        <v>25694626.600000001</v>
      </c>
      <c r="H83" s="311">
        <f>'d3'!E75</f>
        <v>25694626.600000001</v>
      </c>
      <c r="I83" s="311">
        <f>'d3'!J75</f>
        <v>0</v>
      </c>
      <c r="J83" s="311">
        <f>'d3'!K75</f>
        <v>0</v>
      </c>
    </row>
    <row r="84" spans="1:10" s="118" customFormat="1" ht="183" x14ac:dyDescent="0.2">
      <c r="A84" s="394" t="s">
        <v>540</v>
      </c>
      <c r="B84" s="394" t="s">
        <v>541</v>
      </c>
      <c r="C84" s="394" t="s">
        <v>289</v>
      </c>
      <c r="D84" s="394" t="s">
        <v>499</v>
      </c>
      <c r="E84" s="344" t="s">
        <v>732</v>
      </c>
      <c r="F84" s="396" t="s">
        <v>690</v>
      </c>
      <c r="G84" s="311">
        <f t="shared" si="11"/>
        <v>13918200</v>
      </c>
      <c r="H84" s="311">
        <f>'d3'!E76</f>
        <v>13918200</v>
      </c>
      <c r="I84" s="311">
        <f>'d3'!J76</f>
        <v>0</v>
      </c>
      <c r="J84" s="311">
        <f>'d3'!K76</f>
        <v>0</v>
      </c>
    </row>
    <row r="85" spans="1:10" s="118" customFormat="1" ht="228.75" x14ac:dyDescent="0.2">
      <c r="A85" s="394" t="s">
        <v>547</v>
      </c>
      <c r="B85" s="394" t="s">
        <v>548</v>
      </c>
      <c r="C85" s="394" t="s">
        <v>273</v>
      </c>
      <c r="D85" s="394" t="s">
        <v>549</v>
      </c>
      <c r="E85" s="344" t="s">
        <v>732</v>
      </c>
      <c r="F85" s="396" t="s">
        <v>690</v>
      </c>
      <c r="G85" s="311">
        <f t="shared" si="11"/>
        <v>1616024</v>
      </c>
      <c r="H85" s="311">
        <f>'d3'!E77</f>
        <v>1616024</v>
      </c>
      <c r="I85" s="311">
        <f>'d3'!J77</f>
        <v>0</v>
      </c>
      <c r="J85" s="311">
        <f>'d3'!K77</f>
        <v>0</v>
      </c>
    </row>
    <row r="86" spans="1:10" s="118" customFormat="1" ht="320.25" x14ac:dyDescent="0.2">
      <c r="A86" s="394" t="s">
        <v>545</v>
      </c>
      <c r="B86" s="394" t="s">
        <v>546</v>
      </c>
      <c r="C86" s="394" t="s">
        <v>289</v>
      </c>
      <c r="D86" s="394" t="s">
        <v>550</v>
      </c>
      <c r="E86" s="344" t="s">
        <v>732</v>
      </c>
      <c r="F86" s="396" t="s">
        <v>690</v>
      </c>
      <c r="G86" s="311">
        <f t="shared" si="11"/>
        <v>289523.23</v>
      </c>
      <c r="H86" s="311">
        <f>'d3'!E78</f>
        <v>289523.23</v>
      </c>
      <c r="I86" s="311">
        <f>'d3'!J78</f>
        <v>0</v>
      </c>
      <c r="J86" s="311">
        <f>'d3'!K78</f>
        <v>0</v>
      </c>
    </row>
    <row r="87" spans="1:10" s="118" customFormat="1" ht="370.5" customHeight="1" x14ac:dyDescent="0.65">
      <c r="A87" s="476" t="s">
        <v>870</v>
      </c>
      <c r="B87" s="476" t="s">
        <v>871</v>
      </c>
      <c r="C87" s="476" t="s">
        <v>273</v>
      </c>
      <c r="D87" s="273" t="s">
        <v>872</v>
      </c>
      <c r="E87" s="571" t="s">
        <v>732</v>
      </c>
      <c r="F87" s="482" t="s">
        <v>690</v>
      </c>
      <c r="G87" s="491">
        <f t="shared" si="11"/>
        <v>249988</v>
      </c>
      <c r="H87" s="491">
        <f>'d3'!Q79</f>
        <v>249988</v>
      </c>
      <c r="I87" s="491">
        <f>'d3'!R79</f>
        <v>0</v>
      </c>
      <c r="J87" s="491">
        <f>'d3'!T79</f>
        <v>0</v>
      </c>
    </row>
    <row r="88" spans="1:10" s="118" customFormat="1" ht="331.5" customHeight="1" x14ac:dyDescent="0.2">
      <c r="A88" s="477"/>
      <c r="B88" s="477"/>
      <c r="C88" s="477"/>
      <c r="D88" s="274" t="s">
        <v>873</v>
      </c>
      <c r="E88" s="477"/>
      <c r="F88" s="477"/>
      <c r="G88" s="477"/>
      <c r="H88" s="477"/>
      <c r="I88" s="477"/>
      <c r="J88" s="477"/>
    </row>
    <row r="89" spans="1:10" s="118" customFormat="1" ht="137.25" x14ac:dyDescent="0.2">
      <c r="A89" s="394" t="s">
        <v>904</v>
      </c>
      <c r="B89" s="394" t="s">
        <v>905</v>
      </c>
      <c r="C89" s="394" t="s">
        <v>273</v>
      </c>
      <c r="D89" s="394" t="s">
        <v>906</v>
      </c>
      <c r="E89" s="344" t="s">
        <v>732</v>
      </c>
      <c r="F89" s="396" t="s">
        <v>690</v>
      </c>
      <c r="G89" s="311">
        <f t="shared" ref="G89:G90" si="12">H89+I89</f>
        <v>20792460.77</v>
      </c>
      <c r="H89" s="311">
        <f>'d3'!E81</f>
        <v>20792460.77</v>
      </c>
      <c r="I89" s="311">
        <f>'d3'!J81</f>
        <v>0</v>
      </c>
      <c r="J89" s="311">
        <f>'d3'!K81</f>
        <v>0</v>
      </c>
    </row>
    <row r="90" spans="1:10" ht="163.5" customHeight="1" x14ac:dyDescent="0.2">
      <c r="A90" s="394" t="s">
        <v>377</v>
      </c>
      <c r="B90" s="394" t="s">
        <v>368</v>
      </c>
      <c r="C90" s="394" t="s">
        <v>296</v>
      </c>
      <c r="D90" s="394" t="s">
        <v>500</v>
      </c>
      <c r="E90" s="344" t="s">
        <v>732</v>
      </c>
      <c r="F90" s="396" t="s">
        <v>690</v>
      </c>
      <c r="G90" s="311">
        <f t="shared" si="12"/>
        <v>117846</v>
      </c>
      <c r="H90" s="311">
        <f>'d3'!E82</f>
        <v>117846</v>
      </c>
      <c r="I90" s="311">
        <f>'d3'!J82</f>
        <v>0</v>
      </c>
      <c r="J90" s="311">
        <f>'d3'!K82</f>
        <v>0</v>
      </c>
    </row>
    <row r="91" spans="1:10" ht="301.7" customHeight="1" x14ac:dyDescent="0.2">
      <c r="A91" s="394" t="s">
        <v>398</v>
      </c>
      <c r="B91" s="394" t="s">
        <v>396</v>
      </c>
      <c r="C91" s="394" t="s">
        <v>290</v>
      </c>
      <c r="D91" s="394" t="s">
        <v>35</v>
      </c>
      <c r="E91" s="344" t="s">
        <v>732</v>
      </c>
      <c r="F91" s="396" t="s">
        <v>690</v>
      </c>
      <c r="G91" s="311">
        <f>H91+I91</f>
        <v>18264784</v>
      </c>
      <c r="H91" s="311">
        <f>'d3'!E83</f>
        <v>17952884</v>
      </c>
      <c r="I91" s="311">
        <f>'d3'!J83</f>
        <v>311900</v>
      </c>
      <c r="J91" s="311">
        <f>'d3'!K83</f>
        <v>202500</v>
      </c>
    </row>
    <row r="92" spans="1:10" ht="137.25" x14ac:dyDescent="0.2">
      <c r="A92" s="394" t="s">
        <v>399</v>
      </c>
      <c r="B92" s="394" t="s">
        <v>397</v>
      </c>
      <c r="C92" s="394" t="s">
        <v>289</v>
      </c>
      <c r="D92" s="394" t="s">
        <v>501</v>
      </c>
      <c r="E92" s="344" t="s">
        <v>732</v>
      </c>
      <c r="F92" s="396" t="s">
        <v>690</v>
      </c>
      <c r="G92" s="311">
        <f>H92+I92</f>
        <v>5414514</v>
      </c>
      <c r="H92" s="311">
        <f>'d3'!E84-H93</f>
        <v>5185264</v>
      </c>
      <c r="I92" s="311">
        <f>'d3'!J84-I93</f>
        <v>229250</v>
      </c>
      <c r="J92" s="311">
        <f>'d3'!K84-J93</f>
        <v>229250</v>
      </c>
    </row>
    <row r="93" spans="1:10" ht="183" x14ac:dyDescent="0.2">
      <c r="A93" s="394" t="s">
        <v>399</v>
      </c>
      <c r="B93" s="394" t="s">
        <v>397</v>
      </c>
      <c r="C93" s="394" t="s">
        <v>289</v>
      </c>
      <c r="D93" s="394" t="s">
        <v>501</v>
      </c>
      <c r="E93" s="344" t="s">
        <v>726</v>
      </c>
      <c r="F93" s="409" t="s">
        <v>725</v>
      </c>
      <c r="G93" s="311">
        <f>H93+I93</f>
        <v>115000</v>
      </c>
      <c r="H93" s="311">
        <f>49000+21000</f>
        <v>70000</v>
      </c>
      <c r="I93" s="311">
        <v>45000</v>
      </c>
      <c r="J93" s="311">
        <v>45000</v>
      </c>
    </row>
    <row r="94" spans="1:10" ht="366" x14ac:dyDescent="0.2">
      <c r="A94" s="394" t="s">
        <v>394</v>
      </c>
      <c r="B94" s="394" t="s">
        <v>395</v>
      </c>
      <c r="C94" s="394" t="s">
        <v>289</v>
      </c>
      <c r="D94" s="394" t="s">
        <v>502</v>
      </c>
      <c r="E94" s="344" t="s">
        <v>732</v>
      </c>
      <c r="F94" s="396" t="s">
        <v>690</v>
      </c>
      <c r="G94" s="311">
        <f>H94+I94</f>
        <v>1274600</v>
      </c>
      <c r="H94" s="311">
        <f>'d3'!E85</f>
        <v>1274600</v>
      </c>
      <c r="I94" s="311">
        <f>'d3'!J85</f>
        <v>0</v>
      </c>
      <c r="J94" s="311">
        <f>'d3'!K85</f>
        <v>0</v>
      </c>
    </row>
    <row r="95" spans="1:10" ht="228.75" x14ac:dyDescent="0.2">
      <c r="A95" s="394" t="s">
        <v>503</v>
      </c>
      <c r="B95" s="394" t="s">
        <v>504</v>
      </c>
      <c r="C95" s="394" t="s">
        <v>289</v>
      </c>
      <c r="D95" s="394" t="s">
        <v>551</v>
      </c>
      <c r="E95" s="344" t="s">
        <v>732</v>
      </c>
      <c r="F95" s="396" t="s">
        <v>690</v>
      </c>
      <c r="G95" s="311">
        <f>H95+I95</f>
        <v>135534</v>
      </c>
      <c r="H95" s="311">
        <f>'d3'!E86</f>
        <v>135534</v>
      </c>
      <c r="I95" s="311">
        <f>'d3'!J86</f>
        <v>0</v>
      </c>
      <c r="J95" s="311">
        <f>'d3'!K86</f>
        <v>0</v>
      </c>
    </row>
    <row r="96" spans="1:10" ht="137.25" x14ac:dyDescent="0.2">
      <c r="A96" s="394" t="s">
        <v>505</v>
      </c>
      <c r="B96" s="394" t="s">
        <v>506</v>
      </c>
      <c r="C96" s="394" t="s">
        <v>289</v>
      </c>
      <c r="D96" s="394" t="s">
        <v>552</v>
      </c>
      <c r="E96" s="344" t="s">
        <v>732</v>
      </c>
      <c r="F96" s="396" t="s">
        <v>690</v>
      </c>
      <c r="G96" s="311">
        <f t="shared" ref="G96" si="13">H96+I96</f>
        <v>168</v>
      </c>
      <c r="H96" s="311">
        <f>'d3'!E87</f>
        <v>168</v>
      </c>
      <c r="I96" s="311">
        <f>'d3'!J87</f>
        <v>0</v>
      </c>
      <c r="J96" s="311">
        <f>'d3'!K87</f>
        <v>0</v>
      </c>
    </row>
    <row r="97" spans="1:13" ht="320.25" x14ac:dyDescent="0.2">
      <c r="A97" s="394" t="s">
        <v>555</v>
      </c>
      <c r="B97" s="394" t="s">
        <v>554</v>
      </c>
      <c r="C97" s="394" t="s">
        <v>79</v>
      </c>
      <c r="D97" s="394" t="s">
        <v>553</v>
      </c>
      <c r="E97" s="344" t="s">
        <v>732</v>
      </c>
      <c r="F97" s="396" t="s">
        <v>690</v>
      </c>
      <c r="G97" s="311">
        <f>H97+I97</f>
        <v>828500</v>
      </c>
      <c r="H97" s="311">
        <f>'d3'!E88-H98</f>
        <v>828500</v>
      </c>
      <c r="I97" s="311">
        <f>'d3'!J88-I98</f>
        <v>0</v>
      </c>
      <c r="J97" s="311">
        <f>'d3'!K88-J98</f>
        <v>0</v>
      </c>
    </row>
    <row r="98" spans="1:13" ht="320.25" x14ac:dyDescent="0.2">
      <c r="A98" s="394" t="s">
        <v>555</v>
      </c>
      <c r="B98" s="394" t="s">
        <v>554</v>
      </c>
      <c r="C98" s="394" t="s">
        <v>79</v>
      </c>
      <c r="D98" s="394" t="s">
        <v>553</v>
      </c>
      <c r="E98" s="344" t="s">
        <v>911</v>
      </c>
      <c r="F98" s="396" t="s">
        <v>691</v>
      </c>
      <c r="G98" s="311">
        <f>H98+I98</f>
        <v>980000</v>
      </c>
      <c r="H98" s="311">
        <v>980000</v>
      </c>
      <c r="I98" s="311">
        <v>0</v>
      </c>
      <c r="J98" s="311">
        <v>0</v>
      </c>
    </row>
    <row r="99" spans="1:13" ht="228.75" x14ac:dyDescent="0.2">
      <c r="A99" s="394" t="s">
        <v>507</v>
      </c>
      <c r="B99" s="394" t="s">
        <v>508</v>
      </c>
      <c r="C99" s="394" t="s">
        <v>296</v>
      </c>
      <c r="D99" s="394" t="s">
        <v>556</v>
      </c>
      <c r="E99" s="344" t="s">
        <v>732</v>
      </c>
      <c r="F99" s="396" t="s">
        <v>690</v>
      </c>
      <c r="G99" s="311">
        <f>H99+I99</f>
        <v>625000</v>
      </c>
      <c r="H99" s="311">
        <f>'d3'!E89</f>
        <v>625000</v>
      </c>
      <c r="I99" s="311">
        <f>'d3'!J89</f>
        <v>0</v>
      </c>
      <c r="J99" s="311">
        <f>'d3'!K89</f>
        <v>0</v>
      </c>
    </row>
    <row r="100" spans="1:13" ht="91.5" x14ac:dyDescent="0.2">
      <c r="A100" s="394" t="s">
        <v>766</v>
      </c>
      <c r="B100" s="394" t="s">
        <v>616</v>
      </c>
      <c r="C100" s="394" t="s">
        <v>617</v>
      </c>
      <c r="D100" s="394" t="s">
        <v>615</v>
      </c>
      <c r="E100" s="418" t="s">
        <v>783</v>
      </c>
      <c r="F100" s="396" t="s">
        <v>784</v>
      </c>
      <c r="G100" s="311">
        <f>H100+I100</f>
        <v>311000</v>
      </c>
      <c r="H100" s="391">
        <f>'d3'!E90</f>
        <v>311000</v>
      </c>
      <c r="I100" s="391">
        <f>'d3'!J90</f>
        <v>0</v>
      </c>
      <c r="J100" s="391">
        <f>'d3'!K90</f>
        <v>0</v>
      </c>
    </row>
    <row r="101" spans="1:13" ht="409.5" x14ac:dyDescent="0.2">
      <c r="A101" s="476" t="s">
        <v>393</v>
      </c>
      <c r="B101" s="476" t="s">
        <v>280</v>
      </c>
      <c r="C101" s="476" t="s">
        <v>273</v>
      </c>
      <c r="D101" s="275" t="s">
        <v>509</v>
      </c>
      <c r="E101" s="571" t="s">
        <v>732</v>
      </c>
      <c r="F101" s="482" t="s">
        <v>690</v>
      </c>
      <c r="G101" s="491">
        <f t="shared" ref="G101" si="14">H101+I101</f>
        <v>919538</v>
      </c>
      <c r="H101" s="491">
        <f>'d3'!E101</f>
        <v>919538</v>
      </c>
      <c r="I101" s="491">
        <f>'d3'!J101</f>
        <v>0</v>
      </c>
      <c r="J101" s="491">
        <f>'d3'!K101</f>
        <v>0</v>
      </c>
    </row>
    <row r="102" spans="1:13" ht="327.75" customHeight="1" x14ac:dyDescent="0.2">
      <c r="A102" s="492"/>
      <c r="B102" s="492"/>
      <c r="C102" s="492"/>
      <c r="D102" s="274" t="s">
        <v>778</v>
      </c>
      <c r="E102" s="492"/>
      <c r="F102" s="492"/>
      <c r="G102" s="578"/>
      <c r="H102" s="492"/>
      <c r="I102" s="492"/>
      <c r="J102" s="492"/>
    </row>
    <row r="103" spans="1:13" ht="91.5" x14ac:dyDescent="0.2">
      <c r="A103" s="477"/>
      <c r="B103" s="477"/>
      <c r="C103" s="477"/>
      <c r="D103" s="274" t="s">
        <v>779</v>
      </c>
      <c r="E103" s="477"/>
      <c r="F103" s="477"/>
      <c r="G103" s="579"/>
      <c r="H103" s="477"/>
      <c r="I103" s="477"/>
      <c r="J103" s="477"/>
    </row>
    <row r="104" spans="1:13" ht="183" x14ac:dyDescent="0.2">
      <c r="A104" s="394" t="s">
        <v>510</v>
      </c>
      <c r="B104" s="394" t="s">
        <v>512</v>
      </c>
      <c r="C104" s="394" t="s">
        <v>281</v>
      </c>
      <c r="D104" s="269" t="s">
        <v>514</v>
      </c>
      <c r="E104" s="344" t="s">
        <v>732</v>
      </c>
      <c r="F104" s="396" t="s">
        <v>690</v>
      </c>
      <c r="G104" s="311">
        <f t="shared" ref="G104:G109" si="15">H104+I104</f>
        <v>9522348</v>
      </c>
      <c r="H104" s="249">
        <f>'d3'!E104</f>
        <v>5224975</v>
      </c>
      <c r="I104" s="311">
        <f>'d3'!J104</f>
        <v>4297373</v>
      </c>
      <c r="J104" s="311">
        <f>'d3'!K104</f>
        <v>4297373</v>
      </c>
    </row>
    <row r="105" spans="1:13" ht="137.25" x14ac:dyDescent="0.2">
      <c r="A105" s="394" t="s">
        <v>511</v>
      </c>
      <c r="B105" s="394" t="s">
        <v>513</v>
      </c>
      <c r="C105" s="394" t="s">
        <v>281</v>
      </c>
      <c r="D105" s="269" t="s">
        <v>515</v>
      </c>
      <c r="E105" s="344" t="s">
        <v>732</v>
      </c>
      <c r="F105" s="396" t="s">
        <v>690</v>
      </c>
      <c r="G105" s="311">
        <f t="shared" si="15"/>
        <v>26941321</v>
      </c>
      <c r="H105" s="311">
        <f>'d3'!E105-H106-H107</f>
        <v>26742321</v>
      </c>
      <c r="I105" s="311">
        <f>'d3'!J105-I106</f>
        <v>199000</v>
      </c>
      <c r="J105" s="311">
        <f>'d3'!K105-J106</f>
        <v>199000</v>
      </c>
    </row>
    <row r="106" spans="1:13" ht="274.5" x14ac:dyDescent="0.2">
      <c r="A106" s="394" t="s">
        <v>511</v>
      </c>
      <c r="B106" s="394" t="s">
        <v>513</v>
      </c>
      <c r="C106" s="394" t="s">
        <v>281</v>
      </c>
      <c r="D106" s="269" t="s">
        <v>515</v>
      </c>
      <c r="E106" s="344" t="s">
        <v>910</v>
      </c>
      <c r="F106" s="396" t="s">
        <v>691</v>
      </c>
      <c r="G106" s="311">
        <f t="shared" si="15"/>
        <v>1491500</v>
      </c>
      <c r="H106" s="311">
        <f>(1925000+300000)-1000000+46500</f>
        <v>1271500</v>
      </c>
      <c r="I106" s="311">
        <v>220000</v>
      </c>
      <c r="J106" s="311">
        <v>220000</v>
      </c>
      <c r="K106" s="199"/>
    </row>
    <row r="107" spans="1:13" s="299" customFormat="1" ht="137.25" x14ac:dyDescent="0.2">
      <c r="A107" s="394" t="s">
        <v>511</v>
      </c>
      <c r="B107" s="394" t="s">
        <v>513</v>
      </c>
      <c r="C107" s="394" t="s">
        <v>281</v>
      </c>
      <c r="D107" s="269" t="s">
        <v>515</v>
      </c>
      <c r="E107" s="396" t="s">
        <v>969</v>
      </c>
      <c r="F107" s="396" t="s">
        <v>968</v>
      </c>
      <c r="G107" s="311">
        <f t="shared" si="15"/>
        <v>600000</v>
      </c>
      <c r="H107" s="311">
        <v>600000</v>
      </c>
      <c r="I107" s="311"/>
      <c r="J107" s="311"/>
      <c r="K107" s="199"/>
    </row>
    <row r="108" spans="1:13" ht="274.5" x14ac:dyDescent="0.2">
      <c r="A108" s="394" t="s">
        <v>593</v>
      </c>
      <c r="B108" s="394" t="s">
        <v>591</v>
      </c>
      <c r="C108" s="394" t="s">
        <v>529</v>
      </c>
      <c r="D108" s="269" t="s">
        <v>592</v>
      </c>
      <c r="E108" s="344" t="s">
        <v>910</v>
      </c>
      <c r="F108" s="396" t="s">
        <v>691</v>
      </c>
      <c r="G108" s="311">
        <f t="shared" si="15"/>
        <v>3191964</v>
      </c>
      <c r="H108" s="311">
        <f>'d3'!E106</f>
        <v>0</v>
      </c>
      <c r="I108" s="311">
        <f>'d3'!J106</f>
        <v>3191964</v>
      </c>
      <c r="J108" s="311">
        <f>'d3'!K106</f>
        <v>3191964</v>
      </c>
    </row>
    <row r="109" spans="1:13" ht="137.25" x14ac:dyDescent="0.2">
      <c r="A109" s="394" t="s">
        <v>686</v>
      </c>
      <c r="B109" s="394" t="s">
        <v>687</v>
      </c>
      <c r="C109" s="394" t="s">
        <v>444</v>
      </c>
      <c r="D109" s="269" t="s">
        <v>688</v>
      </c>
      <c r="E109" s="344" t="s">
        <v>732</v>
      </c>
      <c r="F109" s="396" t="s">
        <v>690</v>
      </c>
      <c r="G109" s="311">
        <f t="shared" si="15"/>
        <v>2000000</v>
      </c>
      <c r="H109" s="311">
        <f>'d3'!E108</f>
        <v>0</v>
      </c>
      <c r="I109" s="311">
        <f>'d3'!J108</f>
        <v>2000000</v>
      </c>
      <c r="J109" s="417">
        <f>'d3'!K108</f>
        <v>2000000</v>
      </c>
    </row>
    <row r="110" spans="1:13" ht="135" x14ac:dyDescent="0.2">
      <c r="A110" s="327">
        <v>1000000</v>
      </c>
      <c r="B110" s="327"/>
      <c r="C110" s="327"/>
      <c r="D110" s="327" t="s">
        <v>43</v>
      </c>
      <c r="E110" s="327"/>
      <c r="F110" s="327"/>
      <c r="G110" s="399">
        <f>G111</f>
        <v>98581898</v>
      </c>
      <c r="H110" s="399">
        <f t="shared" ref="H110:J110" si="16">H111</f>
        <v>83355564</v>
      </c>
      <c r="I110" s="399">
        <f t="shared" si="16"/>
        <v>15226334</v>
      </c>
      <c r="J110" s="399">
        <f t="shared" si="16"/>
        <v>7739554</v>
      </c>
      <c r="K110" s="186" t="b">
        <f>H110='d3'!E112</f>
        <v>1</v>
      </c>
      <c r="L110" s="186" t="b">
        <f>I110='d3'!J112</f>
        <v>1</v>
      </c>
      <c r="M110" s="187" t="b">
        <f>J110='d3'!K112</f>
        <v>1</v>
      </c>
    </row>
    <row r="111" spans="1:13" ht="135" x14ac:dyDescent="0.2">
      <c r="A111" s="324">
        <v>1010000</v>
      </c>
      <c r="B111" s="324"/>
      <c r="C111" s="324"/>
      <c r="D111" s="324" t="s">
        <v>62</v>
      </c>
      <c r="E111" s="324"/>
      <c r="F111" s="324"/>
      <c r="G111" s="400">
        <f>SUM(G112:G124)</f>
        <v>98581898</v>
      </c>
      <c r="H111" s="400">
        <f>SUM(H112:H124)</f>
        <v>83355564</v>
      </c>
      <c r="I111" s="400">
        <f t="shared" ref="I111:J111" si="17">SUM(I112:I124)</f>
        <v>15226334</v>
      </c>
      <c r="J111" s="400">
        <f t="shared" si="17"/>
        <v>7739554</v>
      </c>
    </row>
    <row r="112" spans="1:13" ht="228.75" x14ac:dyDescent="0.2">
      <c r="A112" s="394" t="s">
        <v>34</v>
      </c>
      <c r="B112" s="394" t="s">
        <v>268</v>
      </c>
      <c r="C112" s="394" t="s">
        <v>269</v>
      </c>
      <c r="D112" s="394" t="s">
        <v>267</v>
      </c>
      <c r="E112" s="311" t="s">
        <v>20</v>
      </c>
      <c r="F112" s="311" t="s">
        <v>682</v>
      </c>
      <c r="G112" s="311">
        <f>H112+I112</f>
        <v>55289699</v>
      </c>
      <c r="H112" s="311">
        <f>'d3'!E113</f>
        <v>47590215</v>
      </c>
      <c r="I112" s="311">
        <f>'d3'!J113</f>
        <v>7699484</v>
      </c>
      <c r="J112" s="311">
        <f>'d3'!K113</f>
        <v>868104</v>
      </c>
    </row>
    <row r="113" spans="1:13" ht="243" customHeight="1" x14ac:dyDescent="0.2">
      <c r="A113" s="394" t="s">
        <v>251</v>
      </c>
      <c r="B113" s="394" t="s">
        <v>252</v>
      </c>
      <c r="C113" s="394" t="s">
        <v>255</v>
      </c>
      <c r="D113" s="394" t="s">
        <v>256</v>
      </c>
      <c r="E113" s="311" t="s">
        <v>20</v>
      </c>
      <c r="F113" s="311" t="s">
        <v>682</v>
      </c>
      <c r="G113" s="311">
        <f t="shared" ref="G113:G120" si="18">H113+I113</f>
        <v>726700</v>
      </c>
      <c r="H113" s="311">
        <f>'d3'!E114</f>
        <v>726700</v>
      </c>
      <c r="I113" s="311">
        <f>'d3'!J114</f>
        <v>0</v>
      </c>
      <c r="J113" s="311">
        <f>'d3'!K114</f>
        <v>0</v>
      </c>
    </row>
    <row r="114" spans="1:13" ht="186" x14ac:dyDescent="0.2">
      <c r="A114" s="394" t="s">
        <v>257</v>
      </c>
      <c r="B114" s="394" t="s">
        <v>258</v>
      </c>
      <c r="C114" s="394" t="s">
        <v>259</v>
      </c>
      <c r="D114" s="394" t="s">
        <v>260</v>
      </c>
      <c r="E114" s="311" t="s">
        <v>20</v>
      </c>
      <c r="F114" s="311" t="s">
        <v>682</v>
      </c>
      <c r="G114" s="311">
        <f t="shared" si="18"/>
        <v>8362220</v>
      </c>
      <c r="H114" s="311">
        <f>'d3'!E115-H115</f>
        <v>7877220</v>
      </c>
      <c r="I114" s="311">
        <f>'d3'!J115-I115</f>
        <v>485000</v>
      </c>
      <c r="J114" s="311">
        <f>'d3'!K115-J115</f>
        <v>400000</v>
      </c>
    </row>
    <row r="115" spans="1:13" ht="183" x14ac:dyDescent="0.2">
      <c r="A115" s="394" t="s">
        <v>257</v>
      </c>
      <c r="B115" s="394" t="s">
        <v>258</v>
      </c>
      <c r="C115" s="394" t="s">
        <v>259</v>
      </c>
      <c r="D115" s="394" t="s">
        <v>260</v>
      </c>
      <c r="E115" s="344" t="s">
        <v>726</v>
      </c>
      <c r="F115" s="409" t="s">
        <v>725</v>
      </c>
      <c r="G115" s="311">
        <f t="shared" si="18"/>
        <v>300000</v>
      </c>
      <c r="H115" s="311">
        <f>16250+46800+5000</f>
        <v>68050</v>
      </c>
      <c r="I115" s="311">
        <f>87250+46500+98200</f>
        <v>231950</v>
      </c>
      <c r="J115" s="311">
        <f>87250+46500+98200</f>
        <v>231950</v>
      </c>
    </row>
    <row r="116" spans="1:13" ht="186" x14ac:dyDescent="0.2">
      <c r="A116" s="394" t="s">
        <v>261</v>
      </c>
      <c r="B116" s="394" t="s">
        <v>262</v>
      </c>
      <c r="C116" s="394" t="s">
        <v>259</v>
      </c>
      <c r="D116" s="394" t="s">
        <v>263</v>
      </c>
      <c r="E116" s="311" t="s">
        <v>20</v>
      </c>
      <c r="F116" s="311" t="s">
        <v>682</v>
      </c>
      <c r="G116" s="311">
        <f t="shared" si="18"/>
        <v>6295535</v>
      </c>
      <c r="H116" s="311">
        <f>'d3'!E116</f>
        <v>1220535</v>
      </c>
      <c r="I116" s="311">
        <f>'d3'!J116</f>
        <v>5075000</v>
      </c>
      <c r="J116" s="311">
        <f>'d3'!K116</f>
        <v>5000000</v>
      </c>
    </row>
    <row r="117" spans="1:13" ht="186" x14ac:dyDescent="0.2">
      <c r="A117" s="394" t="s">
        <v>264</v>
      </c>
      <c r="B117" s="394" t="s">
        <v>253</v>
      </c>
      <c r="C117" s="394" t="s">
        <v>265</v>
      </c>
      <c r="D117" s="394" t="s">
        <v>266</v>
      </c>
      <c r="E117" s="311" t="s">
        <v>20</v>
      </c>
      <c r="F117" s="311" t="s">
        <v>682</v>
      </c>
      <c r="G117" s="311">
        <f t="shared" si="18"/>
        <v>7363082</v>
      </c>
      <c r="H117" s="311">
        <f>'d3'!E117-H118</f>
        <v>5807682</v>
      </c>
      <c r="I117" s="311">
        <f>'d3'!J117-I118</f>
        <v>1555400</v>
      </c>
      <c r="J117" s="311">
        <f>'d3'!K117-J118</f>
        <v>1190000</v>
      </c>
    </row>
    <row r="118" spans="1:13" ht="183" x14ac:dyDescent="0.2">
      <c r="A118" s="394" t="s">
        <v>264</v>
      </c>
      <c r="B118" s="394" t="s">
        <v>253</v>
      </c>
      <c r="C118" s="394" t="s">
        <v>265</v>
      </c>
      <c r="D118" s="394" t="s">
        <v>266</v>
      </c>
      <c r="E118" s="344" t="s">
        <v>726</v>
      </c>
      <c r="F118" s="409" t="s">
        <v>725</v>
      </c>
      <c r="G118" s="311">
        <f t="shared" si="18"/>
        <v>116500</v>
      </c>
      <c r="H118" s="311">
        <f>86500+30000</f>
        <v>116500</v>
      </c>
      <c r="I118" s="311"/>
      <c r="J118" s="311"/>
    </row>
    <row r="119" spans="1:13" ht="186" x14ac:dyDescent="0.2">
      <c r="A119" s="394" t="s">
        <v>517</v>
      </c>
      <c r="B119" s="394" t="s">
        <v>518</v>
      </c>
      <c r="C119" s="394" t="s">
        <v>270</v>
      </c>
      <c r="D119" s="394" t="s">
        <v>516</v>
      </c>
      <c r="E119" s="311" t="s">
        <v>20</v>
      </c>
      <c r="F119" s="311" t="s">
        <v>682</v>
      </c>
      <c r="G119" s="311">
        <f t="shared" si="18"/>
        <v>12898962</v>
      </c>
      <c r="H119" s="311">
        <f>'d3'!E118-H120</f>
        <v>12768962</v>
      </c>
      <c r="I119" s="311">
        <f>'d3'!J118-I120</f>
        <v>130000</v>
      </c>
      <c r="J119" s="311">
        <f>'d3'!K118-J120</f>
        <v>0</v>
      </c>
    </row>
    <row r="120" spans="1:13" ht="186" x14ac:dyDescent="0.2">
      <c r="A120" s="394" t="s">
        <v>517</v>
      </c>
      <c r="B120" s="394" t="s">
        <v>518</v>
      </c>
      <c r="C120" s="394" t="s">
        <v>270</v>
      </c>
      <c r="D120" s="394" t="s">
        <v>516</v>
      </c>
      <c r="E120" s="311" t="s">
        <v>683</v>
      </c>
      <c r="F120" s="311" t="s">
        <v>684</v>
      </c>
      <c r="G120" s="311">
        <f t="shared" si="18"/>
        <v>514800</v>
      </c>
      <c r="H120" s="311">
        <v>514800</v>
      </c>
      <c r="I120" s="311"/>
      <c r="J120" s="311"/>
    </row>
    <row r="121" spans="1:13" ht="204" customHeight="1" x14ac:dyDescent="0.2">
      <c r="A121" s="394" t="s">
        <v>519</v>
      </c>
      <c r="B121" s="394" t="s">
        <v>520</v>
      </c>
      <c r="C121" s="394" t="s">
        <v>270</v>
      </c>
      <c r="D121" s="394" t="s">
        <v>521</v>
      </c>
      <c r="E121" s="311" t="s">
        <v>20</v>
      </c>
      <c r="F121" s="311" t="s">
        <v>682</v>
      </c>
      <c r="G121" s="311">
        <f t="shared" ref="G121:G124" si="19">H121+I121</f>
        <v>5909580</v>
      </c>
      <c r="H121" s="311">
        <f>'d3'!E119-H123-H122</f>
        <v>5909580</v>
      </c>
      <c r="I121" s="311">
        <f>'d3'!J119-I123-I122</f>
        <v>0</v>
      </c>
      <c r="J121" s="311">
        <f>'d3'!K119-J123-J122</f>
        <v>0</v>
      </c>
    </row>
    <row r="122" spans="1:13" ht="232.5" x14ac:dyDescent="0.2">
      <c r="A122" s="394" t="s">
        <v>519</v>
      </c>
      <c r="B122" s="394" t="s">
        <v>520</v>
      </c>
      <c r="C122" s="394" t="s">
        <v>270</v>
      </c>
      <c r="D122" s="394" t="s">
        <v>521</v>
      </c>
      <c r="E122" s="311" t="s">
        <v>590</v>
      </c>
      <c r="F122" s="311" t="s">
        <v>697</v>
      </c>
      <c r="G122" s="311">
        <f t="shared" si="19"/>
        <v>395000</v>
      </c>
      <c r="H122" s="311">
        <v>395000</v>
      </c>
      <c r="I122" s="311"/>
      <c r="J122" s="311"/>
    </row>
    <row r="123" spans="1:13" ht="178.5" customHeight="1" x14ac:dyDescent="0.2">
      <c r="A123" s="394" t="s">
        <v>519</v>
      </c>
      <c r="B123" s="394" t="s">
        <v>520</v>
      </c>
      <c r="C123" s="394" t="s">
        <v>270</v>
      </c>
      <c r="D123" s="394" t="s">
        <v>521</v>
      </c>
      <c r="E123" s="311" t="s">
        <v>683</v>
      </c>
      <c r="F123" s="311" t="s">
        <v>684</v>
      </c>
      <c r="G123" s="311">
        <f t="shared" si="19"/>
        <v>360320</v>
      </c>
      <c r="H123" s="311">
        <v>360320</v>
      </c>
      <c r="I123" s="311"/>
      <c r="J123" s="311"/>
    </row>
    <row r="124" spans="1:13" ht="232.5" customHeight="1" x14ac:dyDescent="0.2">
      <c r="A124" s="394" t="s">
        <v>828</v>
      </c>
      <c r="B124" s="394" t="s">
        <v>287</v>
      </c>
      <c r="C124" s="394" t="s">
        <v>250</v>
      </c>
      <c r="D124" s="394" t="s">
        <v>57</v>
      </c>
      <c r="E124" s="311" t="s">
        <v>20</v>
      </c>
      <c r="F124" s="311" t="s">
        <v>682</v>
      </c>
      <c r="G124" s="311">
        <f t="shared" si="19"/>
        <v>49500</v>
      </c>
      <c r="H124" s="311">
        <f>'d3'!E120</f>
        <v>0</v>
      </c>
      <c r="I124" s="311">
        <f>'d3'!J120</f>
        <v>49500</v>
      </c>
      <c r="J124" s="311">
        <f>'d3'!K120</f>
        <v>49500</v>
      </c>
    </row>
    <row r="125" spans="1:13" ht="135" x14ac:dyDescent="0.2">
      <c r="A125" s="327" t="s">
        <v>40</v>
      </c>
      <c r="B125" s="327"/>
      <c r="C125" s="327"/>
      <c r="D125" s="327" t="s">
        <v>41</v>
      </c>
      <c r="E125" s="327"/>
      <c r="F125" s="327"/>
      <c r="G125" s="399">
        <f>G126</f>
        <v>59483680</v>
      </c>
      <c r="H125" s="399">
        <f t="shared" ref="H125:J125" si="20">H126</f>
        <v>54102996</v>
      </c>
      <c r="I125" s="399">
        <f t="shared" si="20"/>
        <v>5380684</v>
      </c>
      <c r="J125" s="399">
        <f t="shared" si="20"/>
        <v>3274040</v>
      </c>
      <c r="K125" s="186" t="b">
        <f>H125='d3'!E122+'d4'!F12</f>
        <v>1</v>
      </c>
      <c r="L125" s="186" t="b">
        <f>I125='d3'!J122+'d4'!G12</f>
        <v>1</v>
      </c>
      <c r="M125" s="187" t="b">
        <f>J125='d3'!K122+'d4'!H12</f>
        <v>1</v>
      </c>
    </row>
    <row r="126" spans="1:13" ht="135" x14ac:dyDescent="0.2">
      <c r="A126" s="324" t="s">
        <v>39</v>
      </c>
      <c r="B126" s="324"/>
      <c r="C126" s="324"/>
      <c r="D126" s="324" t="s">
        <v>58</v>
      </c>
      <c r="E126" s="324"/>
      <c r="F126" s="324"/>
      <c r="G126" s="400">
        <f>SUM(G127:G144)</f>
        <v>59483680</v>
      </c>
      <c r="H126" s="400">
        <f>SUM(H127:H144)</f>
        <v>54102996</v>
      </c>
      <c r="I126" s="400">
        <f>SUM(I127:I144)</f>
        <v>5380684</v>
      </c>
      <c r="J126" s="400">
        <f>SUM(J127:J144)</f>
        <v>3274040</v>
      </c>
    </row>
    <row r="127" spans="1:13" ht="228.75" x14ac:dyDescent="0.2">
      <c r="A127" s="394" t="s">
        <v>271</v>
      </c>
      <c r="B127" s="394" t="s">
        <v>272</v>
      </c>
      <c r="C127" s="394" t="s">
        <v>273</v>
      </c>
      <c r="D127" s="394" t="s">
        <v>274</v>
      </c>
      <c r="E127" s="344" t="s">
        <v>914</v>
      </c>
      <c r="F127" s="311" t="s">
        <v>692</v>
      </c>
      <c r="G127" s="311">
        <f t="shared" ref="G127" si="21">H127+I127</f>
        <v>3600466</v>
      </c>
      <c r="H127" s="249">
        <f>'d3'!E123</f>
        <v>3511988</v>
      </c>
      <c r="I127" s="264">
        <f>'d3'!J123</f>
        <v>88478</v>
      </c>
      <c r="J127" s="311">
        <f>'d3'!K123</f>
        <v>88478</v>
      </c>
    </row>
    <row r="128" spans="1:13" ht="228.75" x14ac:dyDescent="0.2">
      <c r="A128" s="394" t="s">
        <v>72</v>
      </c>
      <c r="B128" s="394" t="s">
        <v>254</v>
      </c>
      <c r="C128" s="394" t="s">
        <v>273</v>
      </c>
      <c r="D128" s="394" t="s">
        <v>22</v>
      </c>
      <c r="E128" s="344" t="s">
        <v>914</v>
      </c>
      <c r="F128" s="311" t="s">
        <v>692</v>
      </c>
      <c r="G128" s="311">
        <f t="shared" ref="G128:G129" si="22">H128+I128</f>
        <v>1485790</v>
      </c>
      <c r="H128" s="249">
        <f>'d3'!E124</f>
        <v>1485790</v>
      </c>
      <c r="I128" s="264">
        <f>'d3'!J124</f>
        <v>0</v>
      </c>
      <c r="J128" s="311">
        <f>'d3'!K124</f>
        <v>0</v>
      </c>
    </row>
    <row r="129" spans="1:10" ht="228.75" x14ac:dyDescent="0.2">
      <c r="A129" s="394" t="s">
        <v>278</v>
      </c>
      <c r="B129" s="394" t="s">
        <v>279</v>
      </c>
      <c r="C129" s="394" t="s">
        <v>273</v>
      </c>
      <c r="D129" s="394" t="s">
        <v>23</v>
      </c>
      <c r="E129" s="344" t="s">
        <v>914</v>
      </c>
      <c r="F129" s="311" t="s">
        <v>692</v>
      </c>
      <c r="G129" s="311">
        <f t="shared" si="22"/>
        <v>4653146</v>
      </c>
      <c r="H129" s="249">
        <f>'d3'!E125</f>
        <v>3239091</v>
      </c>
      <c r="I129" s="264">
        <f>'d3'!J125</f>
        <v>1414055</v>
      </c>
      <c r="J129" s="311">
        <f>'d3'!K125</f>
        <v>1089055</v>
      </c>
    </row>
    <row r="130" spans="1:10" ht="228.75" x14ac:dyDescent="0.2">
      <c r="A130" s="394" t="s">
        <v>560</v>
      </c>
      <c r="B130" s="394" t="s">
        <v>561</v>
      </c>
      <c r="C130" s="394" t="s">
        <v>273</v>
      </c>
      <c r="D130" s="394" t="s">
        <v>562</v>
      </c>
      <c r="E130" s="344" t="s">
        <v>914</v>
      </c>
      <c r="F130" s="311" t="s">
        <v>692</v>
      </c>
      <c r="G130" s="311">
        <f t="shared" ref="G130:G133" si="23">H130+I130</f>
        <v>6676944</v>
      </c>
      <c r="H130" s="249">
        <f>'d3'!E126-H131</f>
        <v>5400441</v>
      </c>
      <c r="I130" s="264">
        <f>'d3'!J126-I131</f>
        <v>1276503</v>
      </c>
      <c r="J130" s="311">
        <f>'d3'!K126-J131</f>
        <v>1276503</v>
      </c>
    </row>
    <row r="131" spans="1:10" ht="183" x14ac:dyDescent="0.2">
      <c r="A131" s="394" t="s">
        <v>560</v>
      </c>
      <c r="B131" s="394" t="s">
        <v>561</v>
      </c>
      <c r="C131" s="394" t="s">
        <v>273</v>
      </c>
      <c r="D131" s="394" t="s">
        <v>562</v>
      </c>
      <c r="E131" s="344" t="s">
        <v>726</v>
      </c>
      <c r="F131" s="409" t="s">
        <v>725</v>
      </c>
      <c r="G131" s="311">
        <f t="shared" si="23"/>
        <v>104955</v>
      </c>
      <c r="H131" s="249">
        <v>104955</v>
      </c>
      <c r="I131" s="264"/>
      <c r="J131" s="311"/>
    </row>
    <row r="132" spans="1:10" ht="228.75" x14ac:dyDescent="0.2">
      <c r="A132" s="394" t="s">
        <v>73</v>
      </c>
      <c r="B132" s="394" t="s">
        <v>275</v>
      </c>
      <c r="C132" s="394" t="s">
        <v>285</v>
      </c>
      <c r="D132" s="394" t="s">
        <v>74</v>
      </c>
      <c r="E132" s="344" t="s">
        <v>914</v>
      </c>
      <c r="F132" s="311" t="s">
        <v>692</v>
      </c>
      <c r="G132" s="311">
        <f t="shared" si="23"/>
        <v>12176475</v>
      </c>
      <c r="H132" s="311">
        <f>'d3'!E127</f>
        <v>12176475</v>
      </c>
      <c r="I132" s="264">
        <f>'d3'!J127</f>
        <v>0</v>
      </c>
      <c r="J132" s="311">
        <f>'d3'!K127</f>
        <v>0</v>
      </c>
    </row>
    <row r="133" spans="1:10" ht="228.75" x14ac:dyDescent="0.2">
      <c r="A133" s="394" t="s">
        <v>75</v>
      </c>
      <c r="B133" s="394" t="s">
        <v>276</v>
      </c>
      <c r="C133" s="394" t="s">
        <v>285</v>
      </c>
      <c r="D133" s="394" t="s">
        <v>6</v>
      </c>
      <c r="E133" s="344" t="s">
        <v>914</v>
      </c>
      <c r="F133" s="311" t="s">
        <v>692</v>
      </c>
      <c r="G133" s="311">
        <f t="shared" si="23"/>
        <v>1834013</v>
      </c>
      <c r="H133" s="311">
        <f>'d3'!E128</f>
        <v>1834013</v>
      </c>
      <c r="I133" s="264">
        <f>'d3'!J128</f>
        <v>0</v>
      </c>
      <c r="J133" s="311">
        <f>'d3'!K128</f>
        <v>0</v>
      </c>
    </row>
    <row r="134" spans="1:10" ht="228.75" x14ac:dyDescent="0.2">
      <c r="A134" s="394" t="s">
        <v>76</v>
      </c>
      <c r="B134" s="394" t="s">
        <v>277</v>
      </c>
      <c r="C134" s="394" t="s">
        <v>285</v>
      </c>
      <c r="D134" s="394" t="s">
        <v>557</v>
      </c>
      <c r="E134" s="344" t="s">
        <v>914</v>
      </c>
      <c r="F134" s="311" t="s">
        <v>692</v>
      </c>
      <c r="G134" s="311">
        <f t="shared" ref="G134:G135" si="24">H134+I134</f>
        <v>4014</v>
      </c>
      <c r="H134" s="311">
        <f>'d3'!E129</f>
        <v>4014</v>
      </c>
      <c r="I134" s="264">
        <f>'d3'!J129</f>
        <v>0</v>
      </c>
      <c r="J134" s="311">
        <f>'d3'!K129</f>
        <v>0</v>
      </c>
    </row>
    <row r="135" spans="1:10" ht="228.75" x14ac:dyDescent="0.2">
      <c r="A135" s="394" t="s">
        <v>49</v>
      </c>
      <c r="B135" s="394" t="s">
        <v>282</v>
      </c>
      <c r="C135" s="394" t="s">
        <v>285</v>
      </c>
      <c r="D135" s="394" t="s">
        <v>77</v>
      </c>
      <c r="E135" s="344" t="s">
        <v>914</v>
      </c>
      <c r="F135" s="311" t="s">
        <v>692</v>
      </c>
      <c r="G135" s="311">
        <f t="shared" si="24"/>
        <v>21095541</v>
      </c>
      <c r="H135" s="311">
        <f>'d3'!E130</f>
        <v>18783097</v>
      </c>
      <c r="I135" s="264">
        <f>'d3'!J130</f>
        <v>2312444</v>
      </c>
      <c r="J135" s="311">
        <f>'d3'!K130</f>
        <v>662800</v>
      </c>
    </row>
    <row r="136" spans="1:10" ht="228.75" x14ac:dyDescent="0.2">
      <c r="A136" s="394" t="s">
        <v>50</v>
      </c>
      <c r="B136" s="394" t="s">
        <v>283</v>
      </c>
      <c r="C136" s="394" t="s">
        <v>285</v>
      </c>
      <c r="D136" s="394" t="s">
        <v>78</v>
      </c>
      <c r="E136" s="344" t="s">
        <v>914</v>
      </c>
      <c r="F136" s="311" t="s">
        <v>692</v>
      </c>
      <c r="G136" s="311">
        <f t="shared" ref="G136" si="25">H136+I136</f>
        <v>4319656</v>
      </c>
      <c r="H136" s="311">
        <f>'d3'!E131</f>
        <v>4319656</v>
      </c>
      <c r="I136" s="264">
        <f>'d3'!J131</f>
        <v>0</v>
      </c>
      <c r="J136" s="311">
        <f>'d3'!K131</f>
        <v>0</v>
      </c>
    </row>
    <row r="137" spans="1:10" ht="228.75" x14ac:dyDescent="0.2">
      <c r="A137" s="279" t="s">
        <v>51</v>
      </c>
      <c r="B137" s="279" t="s">
        <v>284</v>
      </c>
      <c r="C137" s="279" t="s">
        <v>285</v>
      </c>
      <c r="D137" s="394" t="s">
        <v>52</v>
      </c>
      <c r="E137" s="344" t="s">
        <v>914</v>
      </c>
      <c r="F137" s="311" t="s">
        <v>692</v>
      </c>
      <c r="G137" s="311">
        <f t="shared" ref="G137:G138" si="26">H137+I137</f>
        <v>1416611</v>
      </c>
      <c r="H137" s="311">
        <f>'d3'!E132-H138</f>
        <v>1416611</v>
      </c>
      <c r="I137" s="264">
        <f>'d3'!J132</f>
        <v>0</v>
      </c>
      <c r="J137" s="311">
        <f>'d3'!K132</f>
        <v>0</v>
      </c>
    </row>
    <row r="138" spans="1:10" s="245" customFormat="1" ht="228.75" x14ac:dyDescent="0.2">
      <c r="A138" s="279" t="s">
        <v>51</v>
      </c>
      <c r="B138" s="279" t="s">
        <v>284</v>
      </c>
      <c r="C138" s="279" t="s">
        <v>285</v>
      </c>
      <c r="D138" s="394" t="s">
        <v>52</v>
      </c>
      <c r="E138" s="311" t="s">
        <v>875</v>
      </c>
      <c r="F138" s="409" t="s">
        <v>874</v>
      </c>
      <c r="G138" s="311">
        <f t="shared" si="26"/>
        <v>129155</v>
      </c>
      <c r="H138" s="311">
        <v>129155</v>
      </c>
      <c r="I138" s="264"/>
      <c r="J138" s="311"/>
    </row>
    <row r="139" spans="1:10" s="281" customFormat="1" ht="228.75" x14ac:dyDescent="0.2">
      <c r="A139" s="394" t="s">
        <v>952</v>
      </c>
      <c r="B139" s="394" t="s">
        <v>953</v>
      </c>
      <c r="C139" s="394" t="s">
        <v>285</v>
      </c>
      <c r="D139" s="394" t="s">
        <v>954</v>
      </c>
      <c r="E139" s="344" t="s">
        <v>914</v>
      </c>
      <c r="F139" s="311" t="s">
        <v>692</v>
      </c>
      <c r="G139" s="311">
        <f>H139+I139</f>
        <v>98296</v>
      </c>
      <c r="H139" s="311">
        <f>'d3'!E133</f>
        <v>98296</v>
      </c>
      <c r="I139" s="264">
        <f>'d3'!J133</f>
        <v>0</v>
      </c>
      <c r="J139" s="264">
        <f>'d3'!K133</f>
        <v>0</v>
      </c>
    </row>
    <row r="140" spans="1:10" ht="228.75" x14ac:dyDescent="0.2">
      <c r="A140" s="279" t="s">
        <v>53</v>
      </c>
      <c r="B140" s="279" t="s">
        <v>286</v>
      </c>
      <c r="C140" s="279" t="s">
        <v>285</v>
      </c>
      <c r="D140" s="394" t="s">
        <v>54</v>
      </c>
      <c r="E140" s="344" t="s">
        <v>914</v>
      </c>
      <c r="F140" s="311" t="s">
        <v>692</v>
      </c>
      <c r="G140" s="311">
        <f t="shared" ref="G140:G141" si="27">H140+I140</f>
        <v>1329749</v>
      </c>
      <c r="H140" s="311">
        <f>'d3'!E134-H141</f>
        <v>1230249</v>
      </c>
      <c r="I140" s="264">
        <f>'d3'!J134-I141</f>
        <v>99500</v>
      </c>
      <c r="J140" s="311">
        <f>'d3'!K134-J141</f>
        <v>57500</v>
      </c>
    </row>
    <row r="141" spans="1:10" ht="183" x14ac:dyDescent="0.2">
      <c r="A141" s="279" t="s">
        <v>53</v>
      </c>
      <c r="B141" s="279" t="s">
        <v>286</v>
      </c>
      <c r="C141" s="279" t="s">
        <v>285</v>
      </c>
      <c r="D141" s="394" t="s">
        <v>54</v>
      </c>
      <c r="E141" s="344" t="s">
        <v>726</v>
      </c>
      <c r="F141" s="409" t="s">
        <v>725</v>
      </c>
      <c r="G141" s="311">
        <f t="shared" si="27"/>
        <v>88165</v>
      </c>
      <c r="H141" s="311">
        <v>88165</v>
      </c>
      <c r="I141" s="264"/>
      <c r="J141" s="311"/>
    </row>
    <row r="142" spans="1:10" ht="274.5" x14ac:dyDescent="0.2">
      <c r="A142" s="279" t="s">
        <v>531</v>
      </c>
      <c r="B142" s="279" t="s">
        <v>530</v>
      </c>
      <c r="C142" s="279" t="s">
        <v>529</v>
      </c>
      <c r="D142" s="394" t="s">
        <v>528</v>
      </c>
      <c r="E142" s="344" t="s">
        <v>914</v>
      </c>
      <c r="F142" s="311" t="s">
        <v>692</v>
      </c>
      <c r="G142" s="311">
        <f t="shared" ref="G142:G144" si="28">H142+I142</f>
        <v>21000</v>
      </c>
      <c r="H142" s="311">
        <f>'d3'!E135</f>
        <v>21000</v>
      </c>
      <c r="I142" s="264">
        <f>'d3'!J135</f>
        <v>0</v>
      </c>
      <c r="J142" s="311">
        <f>'d3'!K135</f>
        <v>0</v>
      </c>
    </row>
    <row r="143" spans="1:10" ht="183" x14ac:dyDescent="0.2">
      <c r="A143" s="394" t="s">
        <v>876</v>
      </c>
      <c r="B143" s="394" t="s">
        <v>287</v>
      </c>
      <c r="C143" s="394" t="s">
        <v>250</v>
      </c>
      <c r="D143" s="394" t="s">
        <v>57</v>
      </c>
      <c r="E143" s="344" t="s">
        <v>726</v>
      </c>
      <c r="F143" s="409" t="s">
        <v>725</v>
      </c>
      <c r="G143" s="311">
        <f t="shared" si="28"/>
        <v>99704</v>
      </c>
      <c r="H143" s="311">
        <f>'d3'!E136</f>
        <v>0</v>
      </c>
      <c r="I143" s="264">
        <f>'d3'!J136</f>
        <v>99704</v>
      </c>
      <c r="J143" s="264">
        <f>'d3'!K136</f>
        <v>99704</v>
      </c>
    </row>
    <row r="144" spans="1:10" ht="228.75" x14ac:dyDescent="0.2">
      <c r="A144" s="421" t="s">
        <v>583</v>
      </c>
      <c r="B144" s="421" t="s">
        <v>585</v>
      </c>
      <c r="C144" s="421" t="s">
        <v>79</v>
      </c>
      <c r="D144" s="422" t="s">
        <v>781</v>
      </c>
      <c r="E144" s="344" t="s">
        <v>914</v>
      </c>
      <c r="F144" s="311" t="s">
        <v>692</v>
      </c>
      <c r="G144" s="311">
        <f t="shared" si="28"/>
        <v>350000</v>
      </c>
      <c r="H144" s="311">
        <f>'d4'!F12</f>
        <v>260000</v>
      </c>
      <c r="I144" s="264">
        <f>'d4'!G12</f>
        <v>90000</v>
      </c>
      <c r="J144" s="311">
        <f>'d4'!H12</f>
        <v>0</v>
      </c>
    </row>
    <row r="145" spans="1:13" ht="91.5" hidden="1" x14ac:dyDescent="0.2">
      <c r="A145" s="314" t="s">
        <v>623</v>
      </c>
      <c r="B145" s="319" t="s">
        <v>587</v>
      </c>
      <c r="C145" s="319" t="s">
        <v>71</v>
      </c>
      <c r="D145" s="319" t="s">
        <v>588</v>
      </c>
      <c r="E145" s="322"/>
      <c r="F145" s="317"/>
      <c r="G145" s="317"/>
      <c r="H145" s="317"/>
      <c r="I145" s="321"/>
      <c r="J145" s="318"/>
    </row>
    <row r="146" spans="1:13" ht="180" x14ac:dyDescent="0.2">
      <c r="A146" s="327" t="s">
        <v>238</v>
      </c>
      <c r="B146" s="327"/>
      <c r="C146" s="327"/>
      <c r="D146" s="327" t="s">
        <v>42</v>
      </c>
      <c r="E146" s="327"/>
      <c r="F146" s="327"/>
      <c r="G146" s="399">
        <f>G147</f>
        <v>506023635.45999998</v>
      </c>
      <c r="H146" s="399">
        <f t="shared" ref="H146:J146" si="29">H147</f>
        <v>270415878</v>
      </c>
      <c r="I146" s="399">
        <f t="shared" si="29"/>
        <v>235607757.46000001</v>
      </c>
      <c r="J146" s="399">
        <f t="shared" si="29"/>
        <v>235577972.31</v>
      </c>
      <c r="K146" s="186" t="b">
        <f>H146='d3'!E137-'d3'!E139+160000</f>
        <v>1</v>
      </c>
      <c r="L146" s="186" t="b">
        <f>I146='d3'!J138-'d3'!J139-'d3'!Q156</f>
        <v>1</v>
      </c>
      <c r="M146" s="187" t="b">
        <f>J146='d3'!K138-'d3'!K139</f>
        <v>1</v>
      </c>
    </row>
    <row r="147" spans="1:13" ht="180" x14ac:dyDescent="0.2">
      <c r="A147" s="324" t="s">
        <v>239</v>
      </c>
      <c r="B147" s="324"/>
      <c r="C147" s="324"/>
      <c r="D147" s="324" t="s">
        <v>63</v>
      </c>
      <c r="E147" s="324"/>
      <c r="F147" s="324"/>
      <c r="G147" s="400">
        <f>SUM(G148:G181)</f>
        <v>506023635.45999998</v>
      </c>
      <c r="H147" s="400">
        <f>SUM(H148:H181)</f>
        <v>270415878</v>
      </c>
      <c r="I147" s="400">
        <f>SUM(I148:I181)</f>
        <v>235607757.46000001</v>
      </c>
      <c r="J147" s="400">
        <f>SUM(J148:J181)</f>
        <v>235577972.31</v>
      </c>
    </row>
    <row r="148" spans="1:13" ht="228.75" x14ac:dyDescent="0.2">
      <c r="A148" s="394" t="s">
        <v>717</v>
      </c>
      <c r="B148" s="394" t="s">
        <v>335</v>
      </c>
      <c r="C148" s="394" t="s">
        <v>333</v>
      </c>
      <c r="D148" s="394" t="s">
        <v>334</v>
      </c>
      <c r="E148" s="344" t="s">
        <v>720</v>
      </c>
      <c r="F148" s="311" t="s">
        <v>719</v>
      </c>
      <c r="G148" s="249">
        <f t="shared" ref="G148:G149" si="30">H148+I148</f>
        <v>160000</v>
      </c>
      <c r="H148" s="391">
        <v>160000</v>
      </c>
      <c r="I148" s="391">
        <v>0</v>
      </c>
      <c r="J148" s="391">
        <v>0</v>
      </c>
    </row>
    <row r="149" spans="1:13" ht="232.5" x14ac:dyDescent="0.2">
      <c r="A149" s="394" t="s">
        <v>806</v>
      </c>
      <c r="B149" s="394" t="s">
        <v>71</v>
      </c>
      <c r="C149" s="394" t="s">
        <v>70</v>
      </c>
      <c r="D149" s="394" t="s">
        <v>348</v>
      </c>
      <c r="E149" s="249" t="s">
        <v>706</v>
      </c>
      <c r="F149" s="409" t="s">
        <v>710</v>
      </c>
      <c r="G149" s="249">
        <f t="shared" si="30"/>
        <v>146300</v>
      </c>
      <c r="H149" s="391">
        <f>'d3'!E140</f>
        <v>146300</v>
      </c>
      <c r="I149" s="391">
        <f>'d3'!J140</f>
        <v>0</v>
      </c>
      <c r="J149" s="391">
        <f>'d3'!K140</f>
        <v>0</v>
      </c>
    </row>
    <row r="150" spans="1:13" ht="232.5" x14ac:dyDescent="0.2">
      <c r="A150" s="476" t="s">
        <v>411</v>
      </c>
      <c r="B150" s="476" t="s">
        <v>412</v>
      </c>
      <c r="C150" s="476" t="s">
        <v>529</v>
      </c>
      <c r="D150" s="476" t="s">
        <v>413</v>
      </c>
      <c r="E150" s="249" t="s">
        <v>706</v>
      </c>
      <c r="F150" s="409" t="s">
        <v>710</v>
      </c>
      <c r="G150" s="572">
        <f>H150+I150</f>
        <v>6638600</v>
      </c>
      <c r="H150" s="572">
        <f>'d3'!E141-H151</f>
        <v>2183600</v>
      </c>
      <c r="I150" s="575">
        <f>'d3'!J141-I151</f>
        <v>4455000</v>
      </c>
      <c r="J150" s="491">
        <f>'d3'!K141-J151</f>
        <v>4455000</v>
      </c>
    </row>
    <row r="151" spans="1:13" ht="228.75" x14ac:dyDescent="0.2">
      <c r="A151" s="570"/>
      <c r="B151" s="570"/>
      <c r="C151" s="570"/>
      <c r="D151" s="570"/>
      <c r="E151" s="409" t="s">
        <v>707</v>
      </c>
      <c r="F151" s="409" t="s">
        <v>916</v>
      </c>
      <c r="G151" s="573"/>
      <c r="H151" s="573"/>
      <c r="I151" s="576"/>
      <c r="J151" s="577"/>
    </row>
    <row r="152" spans="1:13" ht="183" x14ac:dyDescent="0.2">
      <c r="A152" s="570"/>
      <c r="B152" s="570"/>
      <c r="C152" s="570"/>
      <c r="D152" s="570"/>
      <c r="E152" s="409" t="s">
        <v>899</v>
      </c>
      <c r="F152" s="409" t="s">
        <v>917</v>
      </c>
      <c r="G152" s="573"/>
      <c r="H152" s="573"/>
      <c r="I152" s="576"/>
      <c r="J152" s="577"/>
    </row>
    <row r="153" spans="1:13" ht="183" x14ac:dyDescent="0.2">
      <c r="A153" s="513"/>
      <c r="B153" s="513"/>
      <c r="C153" s="513"/>
      <c r="D153" s="513"/>
      <c r="E153" s="409" t="s">
        <v>900</v>
      </c>
      <c r="F153" s="409" t="s">
        <v>918</v>
      </c>
      <c r="G153" s="581"/>
      <c r="H153" s="581"/>
      <c r="I153" s="582"/>
      <c r="J153" s="580"/>
    </row>
    <row r="154" spans="1:13" ht="232.5" x14ac:dyDescent="0.2">
      <c r="A154" s="394" t="s">
        <v>624</v>
      </c>
      <c r="B154" s="394" t="s">
        <v>625</v>
      </c>
      <c r="C154" s="394" t="s">
        <v>414</v>
      </c>
      <c r="D154" s="394" t="s">
        <v>626</v>
      </c>
      <c r="E154" s="249" t="s">
        <v>706</v>
      </c>
      <c r="F154" s="409" t="s">
        <v>710</v>
      </c>
      <c r="G154" s="249">
        <f t="shared" ref="G154:G168" si="31">H154+I154</f>
        <v>31500000</v>
      </c>
      <c r="H154" s="249">
        <f>'d3'!E142</f>
        <v>31500000</v>
      </c>
      <c r="I154" s="264">
        <f>'d3'!J142</f>
        <v>0</v>
      </c>
      <c r="J154" s="311">
        <f>'d3'!K142</f>
        <v>0</v>
      </c>
    </row>
    <row r="155" spans="1:13" ht="232.5" x14ac:dyDescent="0.2">
      <c r="A155" s="394" t="s">
        <v>418</v>
      </c>
      <c r="B155" s="394" t="s">
        <v>419</v>
      </c>
      <c r="C155" s="394" t="s">
        <v>414</v>
      </c>
      <c r="D155" s="394" t="s">
        <v>420</v>
      </c>
      <c r="E155" s="249" t="s">
        <v>706</v>
      </c>
      <c r="F155" s="409" t="s">
        <v>710</v>
      </c>
      <c r="G155" s="249">
        <f t="shared" si="31"/>
        <v>16553700</v>
      </c>
      <c r="H155" s="249">
        <f>'d3'!E143</f>
        <v>16553700</v>
      </c>
      <c r="I155" s="264">
        <f>'d3'!J143</f>
        <v>0</v>
      </c>
      <c r="J155" s="311">
        <f>'d3'!K143</f>
        <v>0</v>
      </c>
    </row>
    <row r="156" spans="1:13" ht="232.5" x14ac:dyDescent="0.2">
      <c r="A156" s="394" t="s">
        <v>441</v>
      </c>
      <c r="B156" s="394" t="s">
        <v>442</v>
      </c>
      <c r="C156" s="394" t="s">
        <v>414</v>
      </c>
      <c r="D156" s="394" t="s">
        <v>443</v>
      </c>
      <c r="E156" s="249" t="s">
        <v>706</v>
      </c>
      <c r="F156" s="409" t="s">
        <v>710</v>
      </c>
      <c r="G156" s="249">
        <f t="shared" si="31"/>
        <v>6145000</v>
      </c>
      <c r="H156" s="249">
        <f>'d3'!E144</f>
        <v>0</v>
      </c>
      <c r="I156" s="264">
        <f>'d3'!J144</f>
        <v>6145000</v>
      </c>
      <c r="J156" s="311">
        <f>'d3'!K144</f>
        <v>6145000</v>
      </c>
    </row>
    <row r="157" spans="1:13" ht="232.5" x14ac:dyDescent="0.2">
      <c r="A157" s="394" t="s">
        <v>415</v>
      </c>
      <c r="B157" s="394" t="s">
        <v>416</v>
      </c>
      <c r="C157" s="394" t="s">
        <v>414</v>
      </c>
      <c r="D157" s="394" t="s">
        <v>417</v>
      </c>
      <c r="E157" s="249" t="s">
        <v>706</v>
      </c>
      <c r="F157" s="409" t="s">
        <v>710</v>
      </c>
      <c r="G157" s="249">
        <f t="shared" si="31"/>
        <v>24060000</v>
      </c>
      <c r="H157" s="249">
        <f>'d3'!E145-H158</f>
        <v>0</v>
      </c>
      <c r="I157" s="264">
        <f>'d3'!J145-I158</f>
        <v>24060000</v>
      </c>
      <c r="J157" s="311">
        <f>'d3'!K145-J158</f>
        <v>24060000</v>
      </c>
    </row>
    <row r="158" spans="1:13" ht="183" x14ac:dyDescent="0.2">
      <c r="A158" s="394" t="s">
        <v>415</v>
      </c>
      <c r="B158" s="394" t="s">
        <v>416</v>
      </c>
      <c r="C158" s="394" t="s">
        <v>414</v>
      </c>
      <c r="D158" s="394" t="s">
        <v>417</v>
      </c>
      <c r="E158" s="344" t="s">
        <v>726</v>
      </c>
      <c r="F158" s="409" t="s">
        <v>725</v>
      </c>
      <c r="G158" s="249">
        <f t="shared" si="31"/>
        <v>271028</v>
      </c>
      <c r="H158" s="249"/>
      <c r="I158" s="264">
        <v>271028</v>
      </c>
      <c r="J158" s="311">
        <v>271028</v>
      </c>
    </row>
    <row r="159" spans="1:13" ht="232.5" x14ac:dyDescent="0.2">
      <c r="A159" s="394" t="s">
        <v>435</v>
      </c>
      <c r="B159" s="394" t="s">
        <v>436</v>
      </c>
      <c r="C159" s="394" t="s">
        <v>414</v>
      </c>
      <c r="D159" s="394" t="s">
        <v>437</v>
      </c>
      <c r="E159" s="249" t="s">
        <v>706</v>
      </c>
      <c r="F159" s="409" t="s">
        <v>710</v>
      </c>
      <c r="G159" s="249">
        <f t="shared" si="31"/>
        <v>369575</v>
      </c>
      <c r="H159" s="249">
        <f>'d3'!E146</f>
        <v>369575</v>
      </c>
      <c r="I159" s="264">
        <f>'d3'!J146</f>
        <v>0</v>
      </c>
      <c r="J159" s="311">
        <f>'d3'!K146</f>
        <v>0</v>
      </c>
    </row>
    <row r="160" spans="1:13" ht="194.25" customHeight="1" x14ac:dyDescent="0.2">
      <c r="A160" s="476" t="s">
        <v>421</v>
      </c>
      <c r="B160" s="476" t="s">
        <v>422</v>
      </c>
      <c r="C160" s="476" t="s">
        <v>414</v>
      </c>
      <c r="D160" s="476" t="s">
        <v>423</v>
      </c>
      <c r="E160" s="249" t="s">
        <v>706</v>
      </c>
      <c r="F160" s="409" t="s">
        <v>710</v>
      </c>
      <c r="G160" s="572">
        <f t="shared" si="31"/>
        <v>151902440</v>
      </c>
      <c r="H160" s="572">
        <f>'d3'!E147</f>
        <v>129685988</v>
      </c>
      <c r="I160" s="572">
        <f>'d3'!J147</f>
        <v>22216452</v>
      </c>
      <c r="J160" s="572">
        <f>'d3'!K147</f>
        <v>22216452</v>
      </c>
    </row>
    <row r="161" spans="1:10" ht="186" x14ac:dyDescent="0.2">
      <c r="A161" s="477"/>
      <c r="B161" s="477"/>
      <c r="C161" s="477"/>
      <c r="D161" s="477"/>
      <c r="E161" s="249" t="s">
        <v>900</v>
      </c>
      <c r="F161" s="409" t="s">
        <v>918</v>
      </c>
      <c r="G161" s="477"/>
      <c r="H161" s="477"/>
      <c r="I161" s="477"/>
      <c r="J161" s="477"/>
    </row>
    <row r="162" spans="1:10" ht="232.5" x14ac:dyDescent="0.2">
      <c r="A162" s="394" t="s">
        <v>445</v>
      </c>
      <c r="B162" s="394" t="s">
        <v>446</v>
      </c>
      <c r="C162" s="394" t="s">
        <v>444</v>
      </c>
      <c r="D162" s="394" t="s">
        <v>447</v>
      </c>
      <c r="E162" s="249" t="s">
        <v>706</v>
      </c>
      <c r="F162" s="409" t="s">
        <v>710</v>
      </c>
      <c r="G162" s="249">
        <f t="shared" si="31"/>
        <v>8368600</v>
      </c>
      <c r="H162" s="249">
        <f>'d3'!E148</f>
        <v>0</v>
      </c>
      <c r="I162" s="264">
        <f>'d3'!J148</f>
        <v>8368600</v>
      </c>
      <c r="J162" s="311">
        <f>'d3'!K148</f>
        <v>8368600</v>
      </c>
    </row>
    <row r="163" spans="1:10" ht="232.5" x14ac:dyDescent="0.2">
      <c r="A163" s="394" t="s">
        <v>830</v>
      </c>
      <c r="B163" s="394" t="s">
        <v>559</v>
      </c>
      <c r="C163" s="394" t="s">
        <v>250</v>
      </c>
      <c r="D163" s="394" t="s">
        <v>392</v>
      </c>
      <c r="E163" s="249" t="s">
        <v>706</v>
      </c>
      <c r="F163" s="409" t="s">
        <v>710</v>
      </c>
      <c r="G163" s="249">
        <f t="shared" si="31"/>
        <v>38028000</v>
      </c>
      <c r="H163" s="249">
        <f>'d3'!E149</f>
        <v>0</v>
      </c>
      <c r="I163" s="264">
        <f>'d3'!J149</f>
        <v>38028000</v>
      </c>
      <c r="J163" s="311">
        <f>'d3'!K149</f>
        <v>38028000</v>
      </c>
    </row>
    <row r="164" spans="1:10" ht="232.5" x14ac:dyDescent="0.2">
      <c r="A164" s="394" t="s">
        <v>700</v>
      </c>
      <c r="B164" s="394" t="s">
        <v>701</v>
      </c>
      <c r="C164" s="394" t="s">
        <v>702</v>
      </c>
      <c r="D164" s="394" t="s">
        <v>703</v>
      </c>
      <c r="E164" s="249" t="s">
        <v>706</v>
      </c>
      <c r="F164" s="409" t="s">
        <v>710</v>
      </c>
      <c r="G164" s="249">
        <f t="shared" si="31"/>
        <v>0</v>
      </c>
      <c r="H164" s="249">
        <f>'d3'!E150</f>
        <v>0</v>
      </c>
      <c r="I164" s="264">
        <f>'d3'!J150</f>
        <v>0</v>
      </c>
      <c r="J164" s="311">
        <f>'d3'!K150</f>
        <v>0</v>
      </c>
    </row>
    <row r="165" spans="1:10" ht="137.25" x14ac:dyDescent="0.2">
      <c r="A165" s="394" t="s">
        <v>424</v>
      </c>
      <c r="B165" s="394" t="s">
        <v>425</v>
      </c>
      <c r="C165" s="394" t="s">
        <v>427</v>
      </c>
      <c r="D165" s="394" t="s">
        <v>426</v>
      </c>
      <c r="E165" s="431" t="s">
        <v>708</v>
      </c>
      <c r="F165" s="409" t="s">
        <v>711</v>
      </c>
      <c r="G165" s="249">
        <f t="shared" si="31"/>
        <v>22184030</v>
      </c>
      <c r="H165" s="249">
        <f>'d3'!E151</f>
        <v>22184030</v>
      </c>
      <c r="I165" s="264">
        <f>'d3'!J151</f>
        <v>0</v>
      </c>
      <c r="J165" s="311">
        <f>'d3'!K151</f>
        <v>0</v>
      </c>
    </row>
    <row r="166" spans="1:10" ht="232.5" x14ac:dyDescent="0.2">
      <c r="A166" s="394" t="s">
        <v>428</v>
      </c>
      <c r="B166" s="394" t="s">
        <v>429</v>
      </c>
      <c r="C166" s="394" t="s">
        <v>431</v>
      </c>
      <c r="D166" s="394" t="s">
        <v>430</v>
      </c>
      <c r="E166" s="249" t="s">
        <v>706</v>
      </c>
      <c r="F166" s="409" t="s">
        <v>710</v>
      </c>
      <c r="G166" s="249">
        <f t="shared" si="31"/>
        <v>146051385.78</v>
      </c>
      <c r="H166" s="249">
        <f>'d3'!E152</f>
        <v>65804675</v>
      </c>
      <c r="I166" s="264">
        <f>'d3'!J152</f>
        <v>80246710.780000001</v>
      </c>
      <c r="J166" s="311">
        <f>'d3'!K152</f>
        <v>80216925.629999995</v>
      </c>
    </row>
    <row r="167" spans="1:10" s="292" customFormat="1" ht="232.5" x14ac:dyDescent="0.2">
      <c r="A167" s="394" t="s">
        <v>935</v>
      </c>
      <c r="B167" s="394" t="s">
        <v>936</v>
      </c>
      <c r="C167" s="394" t="s">
        <v>431</v>
      </c>
      <c r="D167" s="394" t="s">
        <v>937</v>
      </c>
      <c r="E167" s="249" t="s">
        <v>706</v>
      </c>
      <c r="F167" s="409" t="s">
        <v>710</v>
      </c>
      <c r="G167" s="249">
        <f t="shared" si="31"/>
        <v>1400000</v>
      </c>
      <c r="H167" s="432">
        <f>'d3'!E153</f>
        <v>0</v>
      </c>
      <c r="I167" s="433">
        <f>'d3'!J153</f>
        <v>1400000</v>
      </c>
      <c r="J167" s="391">
        <f>'d3'!K153</f>
        <v>1400000</v>
      </c>
    </row>
    <row r="168" spans="1:10" ht="183" x14ac:dyDescent="0.2">
      <c r="A168" s="476" t="s">
        <v>432</v>
      </c>
      <c r="B168" s="476" t="s">
        <v>311</v>
      </c>
      <c r="C168" s="476" t="s">
        <v>312</v>
      </c>
      <c r="D168" s="476" t="s">
        <v>67</v>
      </c>
      <c r="E168" s="250" t="s">
        <v>706</v>
      </c>
      <c r="F168" s="409" t="s">
        <v>710</v>
      </c>
      <c r="G168" s="572">
        <f t="shared" si="31"/>
        <v>550000</v>
      </c>
      <c r="H168" s="572">
        <f>'d3'!E154</f>
        <v>550000</v>
      </c>
      <c r="I168" s="575"/>
      <c r="J168" s="491"/>
    </row>
    <row r="169" spans="1:10" ht="186" x14ac:dyDescent="0.2">
      <c r="A169" s="570"/>
      <c r="B169" s="570"/>
      <c r="C169" s="570"/>
      <c r="D169" s="570"/>
      <c r="E169" s="249" t="s">
        <v>900</v>
      </c>
      <c r="F169" s="409" t="s">
        <v>918</v>
      </c>
      <c r="G169" s="573"/>
      <c r="H169" s="573"/>
      <c r="I169" s="576"/>
      <c r="J169" s="577"/>
    </row>
    <row r="170" spans="1:10" s="246" customFormat="1" ht="391.7" customHeight="1" x14ac:dyDescent="0.2">
      <c r="A170" s="570"/>
      <c r="B170" s="570"/>
      <c r="C170" s="570"/>
      <c r="D170" s="570"/>
      <c r="E170" s="434" t="s">
        <v>919</v>
      </c>
      <c r="F170" s="250" t="s">
        <v>920</v>
      </c>
      <c r="G170" s="573"/>
      <c r="H170" s="573"/>
      <c r="I170" s="576"/>
      <c r="J170" s="577"/>
    </row>
    <row r="171" spans="1:10" ht="409.6" customHeight="1" x14ac:dyDescent="0.2">
      <c r="A171" s="477"/>
      <c r="B171" s="477"/>
      <c r="C171" s="477"/>
      <c r="D171" s="477"/>
      <c r="E171" s="434" t="s">
        <v>922</v>
      </c>
      <c r="F171" s="250" t="s">
        <v>921</v>
      </c>
      <c r="G171" s="477"/>
      <c r="H171" s="477"/>
      <c r="I171" s="477"/>
      <c r="J171" s="477"/>
    </row>
    <row r="172" spans="1:10" ht="114" hidden="1" customHeight="1" x14ac:dyDescent="0.2">
      <c r="A172" s="394"/>
      <c r="B172" s="394"/>
      <c r="C172" s="394"/>
      <c r="D172" s="394"/>
      <c r="E172" s="250"/>
      <c r="F172" s="250"/>
      <c r="G172" s="482">
        <f>H173+I173</f>
        <v>700000</v>
      </c>
      <c r="H172" s="249"/>
      <c r="I172" s="264"/>
      <c r="J172" s="311"/>
    </row>
    <row r="173" spans="1:10" ht="366" x14ac:dyDescent="0.2">
      <c r="A173" s="476" t="s">
        <v>432</v>
      </c>
      <c r="B173" s="476" t="s">
        <v>311</v>
      </c>
      <c r="C173" s="476" t="s">
        <v>312</v>
      </c>
      <c r="D173" s="476" t="s">
        <v>67</v>
      </c>
      <c r="E173" s="409" t="s">
        <v>923</v>
      </c>
      <c r="F173" s="250" t="s">
        <v>924</v>
      </c>
      <c r="G173" s="584"/>
      <c r="H173" s="482"/>
      <c r="I173" s="482">
        <f>1000000-300000</f>
        <v>700000</v>
      </c>
      <c r="J173" s="482">
        <f>1000000-300000</f>
        <v>700000</v>
      </c>
    </row>
    <row r="174" spans="1:10" s="248" customFormat="1" ht="342" x14ac:dyDescent="0.2">
      <c r="A174" s="570"/>
      <c r="B174" s="570"/>
      <c r="C174" s="570"/>
      <c r="D174" s="570"/>
      <c r="E174" s="434" t="s">
        <v>922</v>
      </c>
      <c r="F174" s="250" t="s">
        <v>921</v>
      </c>
      <c r="G174" s="584"/>
      <c r="H174" s="583"/>
      <c r="I174" s="583"/>
      <c r="J174" s="583"/>
    </row>
    <row r="175" spans="1:10" ht="186" x14ac:dyDescent="0.2">
      <c r="A175" s="477"/>
      <c r="B175" s="477"/>
      <c r="C175" s="477"/>
      <c r="D175" s="477"/>
      <c r="E175" s="249" t="s">
        <v>900</v>
      </c>
      <c r="F175" s="409" t="s">
        <v>918</v>
      </c>
      <c r="G175" s="490"/>
      <c r="H175" s="584"/>
      <c r="I175" s="584"/>
      <c r="J175" s="584"/>
    </row>
    <row r="176" spans="1:10" ht="409.6" customHeight="1" x14ac:dyDescent="0.2">
      <c r="A176" s="476" t="s">
        <v>432</v>
      </c>
      <c r="B176" s="476" t="s">
        <v>311</v>
      </c>
      <c r="C176" s="476" t="s">
        <v>312</v>
      </c>
      <c r="D176" s="476" t="s">
        <v>67</v>
      </c>
      <c r="E176" s="435" t="s">
        <v>709</v>
      </c>
      <c r="F176" s="409" t="s">
        <v>787</v>
      </c>
      <c r="G176" s="482">
        <f>H176+I176</f>
        <v>250000</v>
      </c>
      <c r="H176" s="482"/>
      <c r="I176" s="482">
        <v>250000</v>
      </c>
      <c r="J176" s="482">
        <v>250000</v>
      </c>
    </row>
    <row r="177" spans="1:13" ht="186" x14ac:dyDescent="0.2">
      <c r="A177" s="477"/>
      <c r="B177" s="477"/>
      <c r="C177" s="477"/>
      <c r="D177" s="477"/>
      <c r="E177" s="249" t="s">
        <v>900</v>
      </c>
      <c r="F177" s="409" t="s">
        <v>901</v>
      </c>
      <c r="G177" s="584"/>
      <c r="H177" s="584"/>
      <c r="I177" s="584"/>
      <c r="J177" s="584"/>
    </row>
    <row r="178" spans="1:13" ht="232.5" x14ac:dyDescent="0.2">
      <c r="A178" s="476" t="s">
        <v>449</v>
      </c>
      <c r="B178" s="476" t="s">
        <v>287</v>
      </c>
      <c r="C178" s="476" t="s">
        <v>250</v>
      </c>
      <c r="D178" s="476" t="s">
        <v>57</v>
      </c>
      <c r="E178" s="249" t="s">
        <v>706</v>
      </c>
      <c r="F178" s="409" t="s">
        <v>710</v>
      </c>
      <c r="G178" s="572">
        <f>H178+I178</f>
        <v>49466966.68</v>
      </c>
      <c r="H178" s="572">
        <f>'d3'!E155</f>
        <v>0</v>
      </c>
      <c r="I178" s="572">
        <f>'d3'!J155</f>
        <v>49466966.68</v>
      </c>
      <c r="J178" s="572">
        <f>'d3'!K155</f>
        <v>49466966.68</v>
      </c>
    </row>
    <row r="179" spans="1:13" s="349" customFormat="1" ht="137.25" x14ac:dyDescent="0.2">
      <c r="A179" s="477"/>
      <c r="B179" s="477"/>
      <c r="C179" s="477"/>
      <c r="D179" s="477"/>
      <c r="E179" s="431" t="s">
        <v>986</v>
      </c>
      <c r="F179" s="409" t="s">
        <v>987</v>
      </c>
      <c r="G179" s="477"/>
      <c r="H179" s="477"/>
      <c r="I179" s="477"/>
      <c r="J179" s="477"/>
    </row>
    <row r="180" spans="1:13" ht="232.5" x14ac:dyDescent="0.2">
      <c r="A180" s="394" t="s">
        <v>433</v>
      </c>
      <c r="B180" s="394" t="s">
        <v>434</v>
      </c>
      <c r="C180" s="394" t="s">
        <v>381</v>
      </c>
      <c r="D180" s="394" t="s">
        <v>527</v>
      </c>
      <c r="E180" s="249" t="s">
        <v>706</v>
      </c>
      <c r="F180" s="409" t="s">
        <v>710</v>
      </c>
      <c r="G180" s="249">
        <f>H180+I180</f>
        <v>0</v>
      </c>
      <c r="H180" s="249"/>
      <c r="I180" s="264">
        <f t="shared" ref="I180" si="32">J180</f>
        <v>0</v>
      </c>
      <c r="J180" s="393"/>
    </row>
    <row r="181" spans="1:13" ht="409.5" x14ac:dyDescent="0.2">
      <c r="A181" s="394" t="s">
        <v>379</v>
      </c>
      <c r="B181" s="394" t="s">
        <v>380</v>
      </c>
      <c r="C181" s="394" t="s">
        <v>381</v>
      </c>
      <c r="D181" s="394" t="s">
        <v>378</v>
      </c>
      <c r="E181" s="409" t="s">
        <v>983</v>
      </c>
      <c r="F181" s="409" t="s">
        <v>712</v>
      </c>
      <c r="G181" s="249">
        <f>H181+I181</f>
        <v>1278010</v>
      </c>
      <c r="H181" s="249">
        <f>'d3'!E158</f>
        <v>1278010</v>
      </c>
      <c r="I181" s="264">
        <f>'d3'!J158</f>
        <v>0</v>
      </c>
      <c r="J181" s="311">
        <f>'d3'!K158</f>
        <v>0</v>
      </c>
    </row>
    <row r="182" spans="1:13" ht="270" x14ac:dyDescent="0.2">
      <c r="A182" s="327" t="s">
        <v>44</v>
      </c>
      <c r="B182" s="327"/>
      <c r="C182" s="327"/>
      <c r="D182" s="327" t="s">
        <v>619</v>
      </c>
      <c r="E182" s="327"/>
      <c r="F182" s="327"/>
      <c r="G182" s="399">
        <f>G183</f>
        <v>114903560</v>
      </c>
      <c r="H182" s="399">
        <f>H183</f>
        <v>55000</v>
      </c>
      <c r="I182" s="399">
        <f>I183</f>
        <v>114848560</v>
      </c>
      <c r="J182" s="399">
        <f>J183</f>
        <v>114848560</v>
      </c>
    </row>
    <row r="183" spans="1:13" ht="270" x14ac:dyDescent="0.2">
      <c r="A183" s="324" t="s">
        <v>45</v>
      </c>
      <c r="B183" s="324"/>
      <c r="C183" s="324"/>
      <c r="D183" s="324" t="s">
        <v>618</v>
      </c>
      <c r="E183" s="324"/>
      <c r="F183" s="324"/>
      <c r="G183" s="400">
        <f>G187+G188+G189+G185+G186+G190+G184</f>
        <v>114903560</v>
      </c>
      <c r="H183" s="400">
        <f>H187+H188+H189+H185+H186+H190+H184</f>
        <v>55000</v>
      </c>
      <c r="I183" s="400">
        <f>I187+I188+I189+I185+I186+I190+I184</f>
        <v>114848560</v>
      </c>
      <c r="J183" s="400">
        <f>J187+J188+J189+J185+J186+J190+J184</f>
        <v>114848560</v>
      </c>
      <c r="K183" s="186" t="b">
        <f>H183='d3'!E160-'d3'!E161+55000</f>
        <v>1</v>
      </c>
      <c r="L183" s="186" t="b">
        <f>I183='d3'!J160</f>
        <v>1</v>
      </c>
      <c r="M183" s="187" t="b">
        <f>J183='d3'!K160</f>
        <v>1</v>
      </c>
    </row>
    <row r="184" spans="1:13" ht="228.75" x14ac:dyDescent="0.2">
      <c r="A184" s="394" t="s">
        <v>713</v>
      </c>
      <c r="B184" s="394" t="s">
        <v>335</v>
      </c>
      <c r="C184" s="394" t="s">
        <v>333</v>
      </c>
      <c r="D184" s="394" t="s">
        <v>334</v>
      </c>
      <c r="E184" s="344" t="s">
        <v>720</v>
      </c>
      <c r="F184" s="311" t="s">
        <v>719</v>
      </c>
      <c r="G184" s="311">
        <f>H184+I184</f>
        <v>69060</v>
      </c>
      <c r="H184" s="311">
        <v>55000</v>
      </c>
      <c r="I184" s="311">
        <f>((10400)+7480)-3820</f>
        <v>14060</v>
      </c>
      <c r="J184" s="311">
        <f>((10400)+7480)-3820</f>
        <v>14060</v>
      </c>
      <c r="K184" s="234"/>
      <c r="L184" s="234"/>
      <c r="M184" s="233"/>
    </row>
    <row r="185" spans="1:13" ht="137.25" x14ac:dyDescent="0.2">
      <c r="A185" s="394" t="s">
        <v>804</v>
      </c>
      <c r="B185" s="394" t="s">
        <v>71</v>
      </c>
      <c r="C185" s="394" t="s">
        <v>70</v>
      </c>
      <c r="D185" s="394" t="s">
        <v>348</v>
      </c>
      <c r="E185" s="344" t="s">
        <v>785</v>
      </c>
      <c r="F185" s="396" t="s">
        <v>786</v>
      </c>
      <c r="G185" s="311">
        <f>H185+I185</f>
        <v>0</v>
      </c>
      <c r="H185" s="311">
        <f>'d3'!E162</f>
        <v>0</v>
      </c>
      <c r="I185" s="311">
        <f>'d3'!J162</f>
        <v>0</v>
      </c>
      <c r="J185" s="311">
        <f>'d3'!K162</f>
        <v>0</v>
      </c>
    </row>
    <row r="186" spans="1:13" ht="274.5" x14ac:dyDescent="0.2">
      <c r="A186" s="394" t="s">
        <v>808</v>
      </c>
      <c r="B186" s="394" t="s">
        <v>810</v>
      </c>
      <c r="C186" s="394" t="s">
        <v>285</v>
      </c>
      <c r="D186" s="394" t="s">
        <v>809</v>
      </c>
      <c r="E186" s="344" t="s">
        <v>785</v>
      </c>
      <c r="F186" s="396" t="s">
        <v>786</v>
      </c>
      <c r="G186" s="311">
        <f>H186+I186</f>
        <v>46287000</v>
      </c>
      <c r="H186" s="311">
        <f>'d3'!E163</f>
        <v>0</v>
      </c>
      <c r="I186" s="311">
        <f>'d3'!J163</f>
        <v>46287000</v>
      </c>
      <c r="J186" s="311">
        <f>'d3'!K163</f>
        <v>46287000</v>
      </c>
    </row>
    <row r="187" spans="1:13" ht="137.25" x14ac:dyDescent="0.2">
      <c r="A187" s="394" t="s">
        <v>463</v>
      </c>
      <c r="B187" s="394" t="s">
        <v>464</v>
      </c>
      <c r="C187" s="394" t="s">
        <v>444</v>
      </c>
      <c r="D187" s="394" t="s">
        <v>462</v>
      </c>
      <c r="E187" s="344" t="s">
        <v>785</v>
      </c>
      <c r="F187" s="396" t="s">
        <v>786</v>
      </c>
      <c r="G187" s="311">
        <f>I187</f>
        <v>25880000</v>
      </c>
      <c r="H187" s="311"/>
      <c r="I187" s="311">
        <f>'d3'!J164</f>
        <v>25880000</v>
      </c>
      <c r="J187" s="417">
        <f>I187</f>
        <v>25880000</v>
      </c>
    </row>
    <row r="188" spans="1:13" ht="137.25" x14ac:dyDescent="0.2">
      <c r="A188" s="394" t="s">
        <v>465</v>
      </c>
      <c r="B188" s="394" t="s">
        <v>466</v>
      </c>
      <c r="C188" s="394" t="s">
        <v>444</v>
      </c>
      <c r="D188" s="394" t="s">
        <v>467</v>
      </c>
      <c r="E188" s="344" t="s">
        <v>785</v>
      </c>
      <c r="F188" s="396" t="s">
        <v>786</v>
      </c>
      <c r="G188" s="311">
        <f t="shared" ref="G188:G189" si="33">I188</f>
        <v>500000</v>
      </c>
      <c r="H188" s="311"/>
      <c r="I188" s="311">
        <f>'d3'!J165</f>
        <v>500000</v>
      </c>
      <c r="J188" s="417">
        <f>I188</f>
        <v>500000</v>
      </c>
    </row>
    <row r="189" spans="1:13" ht="137.25" x14ac:dyDescent="0.2">
      <c r="A189" s="394" t="s">
        <v>468</v>
      </c>
      <c r="B189" s="394" t="s">
        <v>469</v>
      </c>
      <c r="C189" s="394" t="s">
        <v>444</v>
      </c>
      <c r="D189" s="394" t="s">
        <v>780</v>
      </c>
      <c r="E189" s="344" t="s">
        <v>785</v>
      </c>
      <c r="F189" s="396" t="s">
        <v>786</v>
      </c>
      <c r="G189" s="311">
        <f t="shared" si="33"/>
        <v>14967500</v>
      </c>
      <c r="H189" s="311"/>
      <c r="I189" s="311">
        <f>'d3'!J166</f>
        <v>14967500</v>
      </c>
      <c r="J189" s="311">
        <f>I189</f>
        <v>14967500</v>
      </c>
    </row>
    <row r="190" spans="1:13" ht="137.25" x14ac:dyDescent="0.2">
      <c r="A190" s="394" t="s">
        <v>903</v>
      </c>
      <c r="B190" s="394" t="s">
        <v>559</v>
      </c>
      <c r="C190" s="394" t="s">
        <v>250</v>
      </c>
      <c r="D190" s="394" t="s">
        <v>392</v>
      </c>
      <c r="E190" s="344" t="s">
        <v>785</v>
      </c>
      <c r="F190" s="396" t="s">
        <v>786</v>
      </c>
      <c r="G190" s="311">
        <f>H190+I190</f>
        <v>27200000</v>
      </c>
      <c r="H190" s="311">
        <f>'d3'!E167</f>
        <v>0</v>
      </c>
      <c r="I190" s="311">
        <f>'d3'!J167</f>
        <v>27200000</v>
      </c>
      <c r="J190" s="311">
        <f>'d3'!K167</f>
        <v>27200000</v>
      </c>
    </row>
    <row r="191" spans="1:13" ht="270" x14ac:dyDescent="0.2">
      <c r="A191" s="327" t="s">
        <v>240</v>
      </c>
      <c r="B191" s="327"/>
      <c r="C191" s="327"/>
      <c r="D191" s="327" t="s">
        <v>836</v>
      </c>
      <c r="E191" s="327"/>
      <c r="F191" s="327"/>
      <c r="G191" s="399">
        <f>G192</f>
        <v>346400</v>
      </c>
      <c r="H191" s="399">
        <f t="shared" ref="H191:J191" si="34">H192</f>
        <v>253600</v>
      </c>
      <c r="I191" s="399">
        <f t="shared" si="34"/>
        <v>92800</v>
      </c>
      <c r="J191" s="399">
        <f t="shared" si="34"/>
        <v>92800</v>
      </c>
    </row>
    <row r="192" spans="1:13" ht="270" x14ac:dyDescent="0.2">
      <c r="A192" s="324" t="s">
        <v>241</v>
      </c>
      <c r="B192" s="324"/>
      <c r="C192" s="324"/>
      <c r="D192" s="324" t="s">
        <v>837</v>
      </c>
      <c r="E192" s="324"/>
      <c r="F192" s="324"/>
      <c r="G192" s="400">
        <f>G195+G193+G194</f>
        <v>346400</v>
      </c>
      <c r="H192" s="400">
        <f>H195+H193+H194</f>
        <v>253600</v>
      </c>
      <c r="I192" s="400">
        <f>I195+I193+I194</f>
        <v>92800</v>
      </c>
      <c r="J192" s="400">
        <f>J195+J193+J194</f>
        <v>92800</v>
      </c>
      <c r="K192" s="186" t="b">
        <f>H192='d3'!E169-'d3'!E170+55000</f>
        <v>1</v>
      </c>
      <c r="L192" s="186" t="b">
        <f>I192='d3'!J169-'d3'!J170+I193</f>
        <v>1</v>
      </c>
      <c r="M192" s="186" t="b">
        <f>J192='d3'!K169-'d3'!K170+J193</f>
        <v>1</v>
      </c>
    </row>
    <row r="193" spans="1:13" ht="228.75" x14ac:dyDescent="0.2">
      <c r="A193" s="394" t="s">
        <v>715</v>
      </c>
      <c r="B193" s="394" t="s">
        <v>335</v>
      </c>
      <c r="C193" s="394" t="s">
        <v>333</v>
      </c>
      <c r="D193" s="394" t="s">
        <v>334</v>
      </c>
      <c r="E193" s="344" t="s">
        <v>720</v>
      </c>
      <c r="F193" s="311" t="s">
        <v>719</v>
      </c>
      <c r="G193" s="311">
        <f>H193+I193</f>
        <v>77800</v>
      </c>
      <c r="H193" s="311">
        <v>55000</v>
      </c>
      <c r="I193" s="311">
        <f>(26500)-3700</f>
        <v>22800</v>
      </c>
      <c r="J193" s="311">
        <f>(26500)-3700</f>
        <v>22800</v>
      </c>
    </row>
    <row r="194" spans="1:13" s="281" customFormat="1" ht="137.25" x14ac:dyDescent="0.2">
      <c r="A194" s="394" t="s">
        <v>946</v>
      </c>
      <c r="B194" s="394" t="s">
        <v>71</v>
      </c>
      <c r="C194" s="394" t="s">
        <v>70</v>
      </c>
      <c r="D194" s="394" t="s">
        <v>348</v>
      </c>
      <c r="E194" s="344" t="s">
        <v>785</v>
      </c>
      <c r="F194" s="311"/>
      <c r="G194" s="311">
        <f>H194+I194</f>
        <v>198600</v>
      </c>
      <c r="H194" s="311">
        <f>'d3'!E171</f>
        <v>198600</v>
      </c>
      <c r="I194" s="311"/>
      <c r="J194" s="311"/>
    </row>
    <row r="195" spans="1:13" ht="180.75" customHeight="1" x14ac:dyDescent="0.2">
      <c r="A195" s="394" t="s">
        <v>454</v>
      </c>
      <c r="B195" s="394" t="s">
        <v>455</v>
      </c>
      <c r="C195" s="394" t="s">
        <v>444</v>
      </c>
      <c r="D195" s="394" t="s">
        <v>456</v>
      </c>
      <c r="E195" s="344" t="s">
        <v>785</v>
      </c>
      <c r="F195" s="396" t="s">
        <v>786</v>
      </c>
      <c r="G195" s="311">
        <f>H195+I195</f>
        <v>70000</v>
      </c>
      <c r="H195" s="393"/>
      <c r="I195" s="311">
        <f>'d3'!J172</f>
        <v>70000</v>
      </c>
      <c r="J195" s="311">
        <f>'d3'!K172</f>
        <v>70000</v>
      </c>
    </row>
    <row r="196" spans="1:13" ht="135" x14ac:dyDescent="0.2">
      <c r="A196" s="327" t="s">
        <v>246</v>
      </c>
      <c r="B196" s="327"/>
      <c r="C196" s="327"/>
      <c r="D196" s="327" t="s">
        <v>563</v>
      </c>
      <c r="E196" s="327"/>
      <c r="F196" s="327"/>
      <c r="G196" s="399">
        <f>G197</f>
        <v>9554545</v>
      </c>
      <c r="H196" s="399">
        <f t="shared" ref="H196:J196" si="35">H197</f>
        <v>7200430.4800000004</v>
      </c>
      <c r="I196" s="399">
        <f t="shared" si="35"/>
        <v>2354114.52</v>
      </c>
      <c r="J196" s="399">
        <f t="shared" si="35"/>
        <v>2354114.52</v>
      </c>
      <c r="K196" s="186" t="b">
        <f>H196='d3'!E174</f>
        <v>1</v>
      </c>
      <c r="L196" s="186" t="b">
        <f>I196='d3'!J174</f>
        <v>1</v>
      </c>
      <c r="M196" s="187" t="b">
        <f>J196='d3'!K174</f>
        <v>1</v>
      </c>
    </row>
    <row r="197" spans="1:13" ht="135" x14ac:dyDescent="0.2">
      <c r="A197" s="324" t="s">
        <v>247</v>
      </c>
      <c r="B197" s="324"/>
      <c r="C197" s="324"/>
      <c r="D197" s="324" t="s">
        <v>564</v>
      </c>
      <c r="E197" s="324"/>
      <c r="F197" s="324"/>
      <c r="G197" s="400">
        <f>SUM(G198:G204)</f>
        <v>9554545</v>
      </c>
      <c r="H197" s="400">
        <f t="shared" ref="H197:J197" si="36">SUM(H198:H204)</f>
        <v>7200430.4800000004</v>
      </c>
      <c r="I197" s="400">
        <f t="shared" si="36"/>
        <v>2354114.52</v>
      </c>
      <c r="J197" s="400">
        <f t="shared" si="36"/>
        <v>2354114.52</v>
      </c>
    </row>
    <row r="198" spans="1:13" ht="183" hidden="1" x14ac:dyDescent="0.2">
      <c r="A198" s="314" t="s">
        <v>558</v>
      </c>
      <c r="B198" s="314" t="s">
        <v>559</v>
      </c>
      <c r="C198" s="314" t="s">
        <v>250</v>
      </c>
      <c r="D198" s="314" t="s">
        <v>392</v>
      </c>
      <c r="E198" s="315" t="s">
        <v>726</v>
      </c>
      <c r="F198" s="320" t="s">
        <v>725</v>
      </c>
      <c r="G198" s="317">
        <f t="shared" ref="G198:G201" si="37">H198+I198</f>
        <v>0</v>
      </c>
      <c r="H198" s="316">
        <v>0</v>
      </c>
      <c r="I198" s="316">
        <f>(2000000)-2000000</f>
        <v>0</v>
      </c>
      <c r="J198" s="316">
        <f>(2000000)-2000000</f>
        <v>0</v>
      </c>
      <c r="K198" s="186" t="e">
        <f>H198+#REF!='d3'!E175</f>
        <v>#REF!</v>
      </c>
      <c r="L198" s="186" t="e">
        <f>I198+#REF!='d3'!J175</f>
        <v>#REF!</v>
      </c>
      <c r="M198" s="187" t="e">
        <f>J198+#REF!='d3'!K175</f>
        <v>#REF!</v>
      </c>
    </row>
    <row r="199" spans="1:13" ht="137.25" x14ac:dyDescent="0.2">
      <c r="A199" s="394" t="s">
        <v>390</v>
      </c>
      <c r="B199" s="394" t="s">
        <v>391</v>
      </c>
      <c r="C199" s="394" t="s">
        <v>389</v>
      </c>
      <c r="D199" s="394" t="s">
        <v>388</v>
      </c>
      <c r="E199" s="344" t="s">
        <v>984</v>
      </c>
      <c r="F199" s="409" t="s">
        <v>788</v>
      </c>
      <c r="G199" s="249">
        <f>H199+I199</f>
        <v>4494349.4800000004</v>
      </c>
      <c r="H199" s="311">
        <f>(((2456650)-200000+828350)-37350.52)+1146700+100000</f>
        <v>4294349.4800000004</v>
      </c>
      <c r="I199" s="311">
        <v>200000</v>
      </c>
      <c r="J199" s="311">
        <v>200000</v>
      </c>
      <c r="K199" s="186" t="b">
        <f>H199+H200='d3'!E176</f>
        <v>1</v>
      </c>
      <c r="L199" s="186" t="b">
        <f>I199+I200='d3'!J176</f>
        <v>1</v>
      </c>
      <c r="M199" s="187" t="b">
        <f>J199+J200='d3'!K176</f>
        <v>1</v>
      </c>
    </row>
    <row r="200" spans="1:13" ht="183" x14ac:dyDescent="0.2">
      <c r="A200" s="394" t="s">
        <v>390</v>
      </c>
      <c r="B200" s="394" t="s">
        <v>391</v>
      </c>
      <c r="C200" s="394" t="s">
        <v>389</v>
      </c>
      <c r="D200" s="394" t="s">
        <v>388</v>
      </c>
      <c r="E200" s="344" t="s">
        <v>985</v>
      </c>
      <c r="F200" s="409" t="s">
        <v>727</v>
      </c>
      <c r="G200" s="249">
        <f t="shared" si="37"/>
        <v>770000</v>
      </c>
      <c r="H200" s="311">
        <f>((200000)-100000)</f>
        <v>100000</v>
      </c>
      <c r="I200" s="311">
        <f>((570000)+100000)</f>
        <v>670000</v>
      </c>
      <c r="J200" s="311">
        <f>((570000)+100000)</f>
        <v>670000</v>
      </c>
    </row>
    <row r="201" spans="1:13" ht="186" x14ac:dyDescent="0.2">
      <c r="A201" s="394" t="s">
        <v>382</v>
      </c>
      <c r="B201" s="394" t="s">
        <v>384</v>
      </c>
      <c r="C201" s="394" t="s">
        <v>312</v>
      </c>
      <c r="D201" s="394" t="s">
        <v>383</v>
      </c>
      <c r="E201" s="311" t="s">
        <v>728</v>
      </c>
      <c r="F201" s="409" t="s">
        <v>729</v>
      </c>
      <c r="G201" s="249">
        <f t="shared" si="37"/>
        <v>320000</v>
      </c>
      <c r="H201" s="311">
        <f>(420000)-100000</f>
        <v>320000</v>
      </c>
      <c r="I201" s="311">
        <v>0</v>
      </c>
      <c r="J201" s="311">
        <v>0</v>
      </c>
      <c r="K201" s="186" t="b">
        <f>H201='d3'!E177</f>
        <v>1</v>
      </c>
      <c r="L201" s="186" t="b">
        <f>I201='d3'!J177</f>
        <v>1</v>
      </c>
      <c r="M201" s="187" t="b">
        <f>J201='d3'!K177</f>
        <v>1</v>
      </c>
    </row>
    <row r="202" spans="1:13" ht="279" x14ac:dyDescent="0.2">
      <c r="A202" s="394" t="s">
        <v>386</v>
      </c>
      <c r="B202" s="394" t="s">
        <v>387</v>
      </c>
      <c r="C202" s="394" t="s">
        <v>250</v>
      </c>
      <c r="D202" s="394" t="s">
        <v>385</v>
      </c>
      <c r="E202" s="311" t="s">
        <v>970</v>
      </c>
      <c r="F202" s="409" t="s">
        <v>789</v>
      </c>
      <c r="G202" s="249">
        <f t="shared" ref="G202:G204" si="38">H202+I202</f>
        <v>1862000</v>
      </c>
      <c r="H202" s="311">
        <f>(1794000)+37000</f>
        <v>1831000</v>
      </c>
      <c r="I202" s="311">
        <v>31000</v>
      </c>
      <c r="J202" s="311">
        <v>31000</v>
      </c>
      <c r="K202" s="186" t="b">
        <f>'d3'!E178=H202+H203</f>
        <v>1</v>
      </c>
      <c r="L202" s="186" t="b">
        <f>'d3'!J178=I202+I203</f>
        <v>1</v>
      </c>
      <c r="M202" s="241" t="b">
        <f>'d3'!K178=J202+J203</f>
        <v>1</v>
      </c>
    </row>
    <row r="203" spans="1:13" ht="186" x14ac:dyDescent="0.2">
      <c r="A203" s="394" t="s">
        <v>386</v>
      </c>
      <c r="B203" s="394" t="s">
        <v>387</v>
      </c>
      <c r="C203" s="394" t="s">
        <v>250</v>
      </c>
      <c r="D203" s="394" t="s">
        <v>385</v>
      </c>
      <c r="E203" s="311" t="s">
        <v>875</v>
      </c>
      <c r="F203" s="409" t="s">
        <v>874</v>
      </c>
      <c r="G203" s="249">
        <f t="shared" si="38"/>
        <v>808195.52</v>
      </c>
      <c r="H203" s="311">
        <f>((800000-100000)+37350.52-129155)+46885.48</f>
        <v>655081</v>
      </c>
      <c r="I203" s="311">
        <f>(200000)-46885.48</f>
        <v>153114.51999999999</v>
      </c>
      <c r="J203" s="311">
        <f>(200000)-46885.48</f>
        <v>153114.51999999999</v>
      </c>
      <c r="K203" s="186"/>
      <c r="L203" s="186"/>
      <c r="M203" s="187"/>
    </row>
    <row r="204" spans="1:13" ht="137.25" x14ac:dyDescent="0.2">
      <c r="A204" s="394" t="s">
        <v>886</v>
      </c>
      <c r="B204" s="394" t="s">
        <v>587</v>
      </c>
      <c r="C204" s="394" t="s">
        <v>71</v>
      </c>
      <c r="D204" s="394" t="s">
        <v>588</v>
      </c>
      <c r="E204" s="344" t="s">
        <v>785</v>
      </c>
      <c r="F204" s="396" t="s">
        <v>786</v>
      </c>
      <c r="G204" s="249">
        <f t="shared" si="38"/>
        <v>1300000</v>
      </c>
      <c r="H204" s="311"/>
      <c r="I204" s="311">
        <f>500000+800000</f>
        <v>1300000</v>
      </c>
      <c r="J204" s="311">
        <f>500000+800000</f>
        <v>1300000</v>
      </c>
      <c r="K204" s="186" t="b">
        <f>H204='d3'!E179</f>
        <v>1</v>
      </c>
      <c r="L204" s="186" t="b">
        <f>I204='d3'!J179</f>
        <v>1</v>
      </c>
      <c r="M204" s="241" t="b">
        <f>J204='d3'!K179</f>
        <v>1</v>
      </c>
    </row>
    <row r="205" spans="1:13" ht="180" x14ac:dyDescent="0.2">
      <c r="A205" s="327" t="s">
        <v>244</v>
      </c>
      <c r="B205" s="327"/>
      <c r="C205" s="327"/>
      <c r="D205" s="327" t="s">
        <v>834</v>
      </c>
      <c r="E205" s="327"/>
      <c r="F205" s="327"/>
      <c r="G205" s="399">
        <f>G206</f>
        <v>889105.96</v>
      </c>
      <c r="H205" s="399">
        <f t="shared" ref="H205:J205" si="39">H206</f>
        <v>35000</v>
      </c>
      <c r="I205" s="399">
        <f t="shared" si="39"/>
        <v>854105.96</v>
      </c>
      <c r="J205" s="399">
        <f t="shared" si="39"/>
        <v>0</v>
      </c>
      <c r="K205" s="186" t="b">
        <f>H205='d3'!E181-'d3'!E182+35000</f>
        <v>1</v>
      </c>
      <c r="L205" s="186" t="b">
        <f>I205='d3'!J181</f>
        <v>0</v>
      </c>
      <c r="M205" s="187" t="b">
        <f>J205='d3'!K181</f>
        <v>1</v>
      </c>
    </row>
    <row r="206" spans="1:13" ht="180" x14ac:dyDescent="0.2">
      <c r="A206" s="324" t="s">
        <v>245</v>
      </c>
      <c r="B206" s="324"/>
      <c r="C206" s="324"/>
      <c r="D206" s="324" t="s">
        <v>835</v>
      </c>
      <c r="E206" s="324"/>
      <c r="F206" s="324"/>
      <c r="G206" s="400">
        <f>SUM(G207:G210)</f>
        <v>889105.96</v>
      </c>
      <c r="H206" s="400">
        <f>SUM(H207:H210)</f>
        <v>35000</v>
      </c>
      <c r="I206" s="400">
        <f t="shared" ref="I206:J206" si="40">SUM(I207:I210)</f>
        <v>854105.96</v>
      </c>
      <c r="J206" s="400">
        <f t="shared" si="40"/>
        <v>0</v>
      </c>
    </row>
    <row r="207" spans="1:13" ht="228.75" x14ac:dyDescent="0.2">
      <c r="A207" s="394" t="s">
        <v>718</v>
      </c>
      <c r="B207" s="394" t="s">
        <v>335</v>
      </c>
      <c r="C207" s="394" t="s">
        <v>333</v>
      </c>
      <c r="D207" s="394" t="s">
        <v>334</v>
      </c>
      <c r="E207" s="344" t="s">
        <v>720</v>
      </c>
      <c r="F207" s="311" t="s">
        <v>719</v>
      </c>
      <c r="G207" s="311">
        <f>H207+I207</f>
        <v>35000</v>
      </c>
      <c r="H207" s="311">
        <v>35000</v>
      </c>
      <c r="I207" s="311"/>
      <c r="J207" s="311"/>
    </row>
    <row r="208" spans="1:13" ht="137.25" x14ac:dyDescent="0.2">
      <c r="A208" s="394" t="s">
        <v>457</v>
      </c>
      <c r="B208" s="394" t="s">
        <v>458</v>
      </c>
      <c r="C208" s="394" t="s">
        <v>81</v>
      </c>
      <c r="D208" s="394" t="s">
        <v>82</v>
      </c>
      <c r="E208" s="344" t="s">
        <v>733</v>
      </c>
      <c r="F208" s="409" t="s">
        <v>1014</v>
      </c>
      <c r="G208" s="249">
        <f t="shared" ref="G208:G210" si="41">H208+I208</f>
        <v>718616</v>
      </c>
      <c r="H208" s="311">
        <f>'d3'!E183</f>
        <v>0</v>
      </c>
      <c r="I208" s="311">
        <f>'d3'!J183</f>
        <v>718616</v>
      </c>
      <c r="J208" s="417">
        <f>'d3'!K183</f>
        <v>0</v>
      </c>
    </row>
    <row r="209" spans="1:17" ht="137.25" x14ac:dyDescent="0.2">
      <c r="A209" s="394" t="s">
        <v>794</v>
      </c>
      <c r="B209" s="394" t="s">
        <v>795</v>
      </c>
      <c r="C209" s="394" t="s">
        <v>817</v>
      </c>
      <c r="D209" s="394" t="s">
        <v>816</v>
      </c>
      <c r="E209" s="344" t="s">
        <v>733</v>
      </c>
      <c r="F209" s="409" t="s">
        <v>1014</v>
      </c>
      <c r="G209" s="249">
        <f>H209+I209</f>
        <v>56289.96</v>
      </c>
      <c r="H209" s="311">
        <f>'d3'!E185</f>
        <v>0</v>
      </c>
      <c r="I209" s="311">
        <f>'d3'!J185</f>
        <v>56289.96</v>
      </c>
      <c r="J209" s="417">
        <f>'d3'!K185</f>
        <v>0</v>
      </c>
    </row>
    <row r="210" spans="1:17" ht="137.25" x14ac:dyDescent="0.2">
      <c r="A210" s="394" t="s">
        <v>459</v>
      </c>
      <c r="B210" s="394" t="s">
        <v>460</v>
      </c>
      <c r="C210" s="394" t="s">
        <v>83</v>
      </c>
      <c r="D210" s="394" t="s">
        <v>461</v>
      </c>
      <c r="E210" s="344" t="s">
        <v>733</v>
      </c>
      <c r="F210" s="409" t="s">
        <v>1014</v>
      </c>
      <c r="G210" s="249">
        <f t="shared" si="41"/>
        <v>79200</v>
      </c>
      <c r="H210" s="311">
        <f>'d3'!E186</f>
        <v>0</v>
      </c>
      <c r="I210" s="311">
        <f>'d3'!J186</f>
        <v>79200</v>
      </c>
      <c r="J210" s="417">
        <f>'d3'!K186</f>
        <v>0</v>
      </c>
    </row>
    <row r="211" spans="1:17" ht="270" x14ac:dyDescent="0.2">
      <c r="A211" s="327" t="s">
        <v>242</v>
      </c>
      <c r="B211" s="327"/>
      <c r="C211" s="327"/>
      <c r="D211" s="327" t="s">
        <v>838</v>
      </c>
      <c r="E211" s="327"/>
      <c r="F211" s="327"/>
      <c r="G211" s="399">
        <f>G212</f>
        <v>381000</v>
      </c>
      <c r="H211" s="399">
        <f t="shared" ref="H211:J211" si="42">H212</f>
        <v>55000</v>
      </c>
      <c r="I211" s="399">
        <f t="shared" si="42"/>
        <v>326000</v>
      </c>
      <c r="J211" s="399">
        <f t="shared" si="42"/>
        <v>326000</v>
      </c>
      <c r="K211" s="186" t="b">
        <f>H211='d3'!E188-'d3'!E189+55000</f>
        <v>1</v>
      </c>
      <c r="L211" s="186" t="b">
        <f>I211='d3'!J188</f>
        <v>1</v>
      </c>
      <c r="M211" s="187" t="b">
        <f>J211='d3'!K188</f>
        <v>1</v>
      </c>
    </row>
    <row r="212" spans="1:17" ht="315" x14ac:dyDescent="0.2">
      <c r="A212" s="324" t="s">
        <v>243</v>
      </c>
      <c r="B212" s="324"/>
      <c r="C212" s="324"/>
      <c r="D212" s="324" t="s">
        <v>839</v>
      </c>
      <c r="E212" s="324"/>
      <c r="F212" s="324"/>
      <c r="G212" s="400">
        <f>SUM(G213:G215)</f>
        <v>381000</v>
      </c>
      <c r="H212" s="400">
        <f t="shared" ref="H212:J212" si="43">SUM(H213:H215)</f>
        <v>55000</v>
      </c>
      <c r="I212" s="400">
        <f t="shared" si="43"/>
        <v>326000</v>
      </c>
      <c r="J212" s="400">
        <f t="shared" si="43"/>
        <v>326000</v>
      </c>
    </row>
    <row r="213" spans="1:17" ht="228.75" x14ac:dyDescent="0.2">
      <c r="A213" s="394" t="s">
        <v>714</v>
      </c>
      <c r="B213" s="394" t="s">
        <v>335</v>
      </c>
      <c r="C213" s="394" t="s">
        <v>333</v>
      </c>
      <c r="D213" s="394" t="s">
        <v>334</v>
      </c>
      <c r="E213" s="344" t="s">
        <v>720</v>
      </c>
      <c r="F213" s="311" t="s">
        <v>719</v>
      </c>
      <c r="G213" s="311">
        <f>H213+I213</f>
        <v>55000</v>
      </c>
      <c r="H213" s="311">
        <v>55000</v>
      </c>
      <c r="I213" s="311"/>
      <c r="J213" s="311"/>
    </row>
    <row r="214" spans="1:17" ht="137.25" x14ac:dyDescent="0.2">
      <c r="A214" s="394" t="s">
        <v>451</v>
      </c>
      <c r="B214" s="394" t="s">
        <v>452</v>
      </c>
      <c r="C214" s="394" t="s">
        <v>453</v>
      </c>
      <c r="D214" s="394" t="s">
        <v>450</v>
      </c>
      <c r="E214" s="344" t="s">
        <v>785</v>
      </c>
      <c r="F214" s="396" t="s">
        <v>786</v>
      </c>
      <c r="G214" s="249">
        <f t="shared" ref="G214:G215" si="44">H214+I214</f>
        <v>236000</v>
      </c>
      <c r="H214" s="311">
        <f>'d3'!E190</f>
        <v>0</v>
      </c>
      <c r="I214" s="311">
        <f>'d3'!J190</f>
        <v>236000</v>
      </c>
      <c r="J214" s="311">
        <f>'d3'!K190</f>
        <v>236000</v>
      </c>
    </row>
    <row r="215" spans="1:17" ht="137.25" x14ac:dyDescent="0.2">
      <c r="A215" s="394" t="s">
        <v>595</v>
      </c>
      <c r="B215" s="394" t="s">
        <v>596</v>
      </c>
      <c r="C215" s="394" t="s">
        <v>250</v>
      </c>
      <c r="D215" s="394" t="s">
        <v>597</v>
      </c>
      <c r="E215" s="344" t="s">
        <v>785</v>
      </c>
      <c r="F215" s="396" t="s">
        <v>786</v>
      </c>
      <c r="G215" s="249">
        <f t="shared" si="44"/>
        <v>90000</v>
      </c>
      <c r="H215" s="311">
        <f>'d3'!E191</f>
        <v>0</v>
      </c>
      <c r="I215" s="311">
        <f>'d3'!J191</f>
        <v>90000</v>
      </c>
      <c r="J215" s="311">
        <f>'d3'!K191</f>
        <v>90000</v>
      </c>
    </row>
    <row r="216" spans="1:17" ht="135" x14ac:dyDescent="0.2">
      <c r="A216" s="327" t="s">
        <v>248</v>
      </c>
      <c r="B216" s="327"/>
      <c r="C216" s="327"/>
      <c r="D216" s="327" t="s">
        <v>48</v>
      </c>
      <c r="E216" s="327"/>
      <c r="F216" s="327"/>
      <c r="G216" s="399">
        <f>G217</f>
        <v>90000</v>
      </c>
      <c r="H216" s="399">
        <f t="shared" ref="H216:J216" si="45">H217</f>
        <v>40000</v>
      </c>
      <c r="I216" s="399">
        <f t="shared" si="45"/>
        <v>50000</v>
      </c>
      <c r="J216" s="399">
        <f t="shared" si="45"/>
        <v>50000</v>
      </c>
    </row>
    <row r="217" spans="1:17" ht="135" x14ac:dyDescent="0.2">
      <c r="A217" s="324" t="s">
        <v>249</v>
      </c>
      <c r="B217" s="324"/>
      <c r="C217" s="324"/>
      <c r="D217" s="324" t="s">
        <v>66</v>
      </c>
      <c r="E217" s="324"/>
      <c r="F217" s="324"/>
      <c r="G217" s="400">
        <f>SUM(G218)</f>
        <v>90000</v>
      </c>
      <c r="H217" s="400">
        <f t="shared" ref="H217:J217" si="46">SUM(H218)</f>
        <v>40000</v>
      </c>
      <c r="I217" s="400">
        <f t="shared" si="46"/>
        <v>50000</v>
      </c>
      <c r="J217" s="400">
        <f t="shared" si="46"/>
        <v>50000</v>
      </c>
    </row>
    <row r="218" spans="1:17" ht="228.75" x14ac:dyDescent="0.2">
      <c r="A218" s="394" t="s">
        <v>716</v>
      </c>
      <c r="B218" s="394" t="s">
        <v>335</v>
      </c>
      <c r="C218" s="394" t="s">
        <v>333</v>
      </c>
      <c r="D218" s="394" t="s">
        <v>334</v>
      </c>
      <c r="E218" s="344" t="s">
        <v>720</v>
      </c>
      <c r="F218" s="311" t="s">
        <v>719</v>
      </c>
      <c r="G218" s="249">
        <f>H218+I218</f>
        <v>90000</v>
      </c>
      <c r="H218" s="311">
        <v>40000</v>
      </c>
      <c r="I218" s="311">
        <v>50000</v>
      </c>
      <c r="J218" s="311">
        <v>50000</v>
      </c>
    </row>
    <row r="219" spans="1:17" ht="81.75" customHeight="1" x14ac:dyDescent="1.1499999999999999">
      <c r="A219" s="180" t="s">
        <v>633</v>
      </c>
      <c r="B219" s="180" t="s">
        <v>633</v>
      </c>
      <c r="C219" s="180" t="s">
        <v>633</v>
      </c>
      <c r="D219" s="181" t="s">
        <v>649</v>
      </c>
      <c r="E219" s="180" t="s">
        <v>633</v>
      </c>
      <c r="F219" s="180" t="s">
        <v>633</v>
      </c>
      <c r="G219" s="137">
        <f>G12+G28+G126+G46+G62+G111+G147+G183+G192+G217+G197+G206+G212</f>
        <v>3051725617.2400002</v>
      </c>
      <c r="H219" s="137">
        <f>H12+H28+H126+H46+H62+H111+H147+H183+H192+H217+H197+H206+H212</f>
        <v>2473580961.2600002</v>
      </c>
      <c r="I219" s="137">
        <f>I12+I28+I126+I46+I62+I111+I147+I183+I192+I217+I197+I206+I212</f>
        <v>578144655.98000002</v>
      </c>
      <c r="J219" s="137">
        <f>J12+J28+J126+J46+J61+J111+J147+J183+J192+J217+J197+J206+J212</f>
        <v>456350534.87</v>
      </c>
      <c r="K219" s="210" t="b">
        <f>G219=H219+I219</f>
        <v>1</v>
      </c>
    </row>
    <row r="220" spans="1:17" ht="31.7" customHeight="1" x14ac:dyDescent="0.2">
      <c r="A220" s="510" t="s">
        <v>448</v>
      </c>
      <c r="B220" s="511"/>
      <c r="C220" s="511"/>
      <c r="D220" s="511"/>
      <c r="E220" s="511"/>
      <c r="F220" s="511"/>
      <c r="G220" s="511"/>
      <c r="H220" s="511"/>
      <c r="I220" s="511"/>
      <c r="J220" s="511"/>
    </row>
    <row r="221" spans="1:17" ht="31.7" customHeight="1" x14ac:dyDescent="0.2">
      <c r="A221" s="116"/>
      <c r="B221" s="117"/>
      <c r="C221" s="117"/>
      <c r="D221" s="117"/>
      <c r="E221" s="117"/>
      <c r="F221" s="117"/>
      <c r="G221" s="117"/>
      <c r="H221" s="117"/>
      <c r="I221" s="117"/>
      <c r="J221" s="117"/>
    </row>
    <row r="222" spans="1:17" ht="61.5" customHeight="1" x14ac:dyDescent="0.65">
      <c r="A222" s="7"/>
      <c r="B222" s="7"/>
      <c r="C222" s="7"/>
      <c r="D222" s="509" t="s">
        <v>1008</v>
      </c>
      <c r="E222" s="509"/>
      <c r="F222" s="509"/>
      <c r="G222" s="509"/>
      <c r="H222" s="509"/>
      <c r="I222" s="509"/>
      <c r="J222" s="509"/>
      <c r="K222" s="509"/>
      <c r="L222" s="509"/>
      <c r="M222" s="509"/>
      <c r="N222" s="509"/>
      <c r="O222" s="509"/>
      <c r="P222" s="509"/>
      <c r="Q222" s="509"/>
    </row>
    <row r="223" spans="1:17" ht="45.75" x14ac:dyDescent="0.55000000000000004">
      <c r="D223" s="177"/>
      <c r="E223" s="21"/>
      <c r="F223" s="128"/>
      <c r="G223" s="177"/>
      <c r="H223" s="177"/>
      <c r="I223" s="128"/>
      <c r="J223" s="21"/>
      <c r="K223" s="13"/>
      <c r="L223" s="13"/>
      <c r="M223" s="13"/>
      <c r="N223" s="13"/>
      <c r="O223" s="13"/>
      <c r="P223" s="13"/>
      <c r="Q223" s="13"/>
    </row>
    <row r="224" spans="1:17" ht="45.75" x14ac:dyDescent="0.65">
      <c r="D224" s="509"/>
      <c r="E224" s="509"/>
      <c r="F224" s="509"/>
      <c r="G224" s="509"/>
      <c r="H224" s="509"/>
      <c r="I224" s="509"/>
      <c r="J224" s="509"/>
      <c r="K224" s="13"/>
      <c r="L224" s="13"/>
      <c r="M224" s="13"/>
      <c r="N224" s="13"/>
      <c r="O224" s="13"/>
      <c r="P224" s="13"/>
      <c r="Q224" s="13"/>
    </row>
    <row r="225" spans="1:10" x14ac:dyDescent="0.2">
      <c r="E225" s="4"/>
      <c r="F225" s="3"/>
    </row>
    <row r="226" spans="1:10" x14ac:dyDescent="0.2">
      <c r="E226" s="4"/>
      <c r="F226" s="3"/>
    </row>
    <row r="227" spans="1:10" ht="62.25" x14ac:dyDescent="0.8">
      <c r="A227"/>
      <c r="B227"/>
      <c r="C227"/>
      <c r="D227"/>
      <c r="E227" s="21"/>
      <c r="F227" s="128"/>
      <c r="I227"/>
      <c r="J227" s="151"/>
    </row>
    <row r="228" spans="1:10" ht="45.75" x14ac:dyDescent="0.2">
      <c r="E228" s="22"/>
      <c r="F228" s="177"/>
    </row>
    <row r="229" spans="1:10" ht="45.75" x14ac:dyDescent="0.2">
      <c r="A229"/>
      <c r="B229"/>
      <c r="C229"/>
      <c r="D229"/>
      <c r="E229" s="21"/>
      <c r="F229" s="128"/>
      <c r="I229"/>
      <c r="J229"/>
    </row>
    <row r="230" spans="1:10" ht="45.75" x14ac:dyDescent="0.2">
      <c r="E230" s="22"/>
      <c r="F230" s="177"/>
    </row>
    <row r="231" spans="1:10" ht="45.75" x14ac:dyDescent="0.2">
      <c r="E231" s="22"/>
      <c r="F231" s="177"/>
    </row>
    <row r="232" spans="1:10" ht="45.75" x14ac:dyDescent="0.2">
      <c r="E232" s="22"/>
      <c r="F232" s="177"/>
    </row>
    <row r="233" spans="1:10" ht="45.75" x14ac:dyDescent="0.2">
      <c r="A233"/>
      <c r="B233"/>
      <c r="C233"/>
      <c r="D233"/>
      <c r="E233" s="22"/>
      <c r="F233" s="177"/>
      <c r="G233"/>
      <c r="H233"/>
      <c r="I233"/>
      <c r="J233"/>
    </row>
    <row r="234" spans="1:10" ht="45.75" x14ac:dyDescent="0.2">
      <c r="A234"/>
      <c r="B234"/>
      <c r="C234"/>
      <c r="D234"/>
      <c r="E234" s="22"/>
      <c r="F234" s="177"/>
      <c r="G234"/>
      <c r="H234"/>
      <c r="I234"/>
      <c r="J234"/>
    </row>
    <row r="235" spans="1:10" ht="45.75" x14ac:dyDescent="0.2">
      <c r="A235"/>
      <c r="B235"/>
      <c r="C235"/>
      <c r="D235"/>
      <c r="E235" s="22"/>
      <c r="F235" s="177"/>
      <c r="G235"/>
      <c r="H235"/>
      <c r="I235"/>
      <c r="J235"/>
    </row>
    <row r="236" spans="1:10" ht="45.75" x14ac:dyDescent="0.2">
      <c r="A236"/>
      <c r="B236"/>
      <c r="C236"/>
      <c r="D236"/>
      <c r="E236" s="22"/>
      <c r="F236" s="177"/>
      <c r="G236"/>
      <c r="H236"/>
      <c r="I236"/>
      <c r="J236"/>
    </row>
  </sheetData>
  <mergeCells count="93">
    <mergeCell ref="H178:H179"/>
    <mergeCell ref="I178:I179"/>
    <mergeCell ref="J178:J179"/>
    <mergeCell ref="A178:A179"/>
    <mergeCell ref="B178:B179"/>
    <mergeCell ref="C178:C179"/>
    <mergeCell ref="D178:D179"/>
    <mergeCell ref="G178:G179"/>
    <mergeCell ref="H173:H175"/>
    <mergeCell ref="I173:I175"/>
    <mergeCell ref="J173:J175"/>
    <mergeCell ref="A176:A177"/>
    <mergeCell ref="B176:B177"/>
    <mergeCell ref="C176:C177"/>
    <mergeCell ref="D176:D177"/>
    <mergeCell ref="G176:G177"/>
    <mergeCell ref="H176:H177"/>
    <mergeCell ref="I176:I177"/>
    <mergeCell ref="J176:J177"/>
    <mergeCell ref="A173:A175"/>
    <mergeCell ref="B173:B175"/>
    <mergeCell ref="C173:C175"/>
    <mergeCell ref="D173:D175"/>
    <mergeCell ref="G172:G175"/>
    <mergeCell ref="C150:C153"/>
    <mergeCell ref="D150:D153"/>
    <mergeCell ref="G150:G153"/>
    <mergeCell ref="H150:H153"/>
    <mergeCell ref="I150:I153"/>
    <mergeCell ref="A87:A88"/>
    <mergeCell ref="B87:B88"/>
    <mergeCell ref="C87:C88"/>
    <mergeCell ref="E87:E88"/>
    <mergeCell ref="F87:F88"/>
    <mergeCell ref="A25:A26"/>
    <mergeCell ref="B25:B26"/>
    <mergeCell ref="C25:C26"/>
    <mergeCell ref="D25:D26"/>
    <mergeCell ref="G25:G26"/>
    <mergeCell ref="G160:G161"/>
    <mergeCell ref="H160:H161"/>
    <mergeCell ref="I160:I161"/>
    <mergeCell ref="I25:I26"/>
    <mergeCell ref="J25:J26"/>
    <mergeCell ref="G87:G88"/>
    <mergeCell ref="H87:H88"/>
    <mergeCell ref="I87:I88"/>
    <mergeCell ref="J87:J88"/>
    <mergeCell ref="J150:J153"/>
    <mergeCell ref="H8:H9"/>
    <mergeCell ref="I8:J8"/>
    <mergeCell ref="G101:G103"/>
    <mergeCell ref="H101:H103"/>
    <mergeCell ref="I101:I103"/>
    <mergeCell ref="J101:J103"/>
    <mergeCell ref="H25:H26"/>
    <mergeCell ref="D8:D9"/>
    <mergeCell ref="D222:Q222"/>
    <mergeCell ref="D224:J224"/>
    <mergeCell ref="A220:J220"/>
    <mergeCell ref="A168:A171"/>
    <mergeCell ref="B168:B171"/>
    <mergeCell ref="C168:C171"/>
    <mergeCell ref="D168:D171"/>
    <mergeCell ref="G168:G171"/>
    <mergeCell ref="K44:M44"/>
    <mergeCell ref="F8:F9"/>
    <mergeCell ref="G8:G9"/>
    <mergeCell ref="H168:H171"/>
    <mergeCell ref="I168:I171"/>
    <mergeCell ref="J160:J161"/>
    <mergeCell ref="J168:J171"/>
    <mergeCell ref="I1:J1"/>
    <mergeCell ref="I2:J2"/>
    <mergeCell ref="I3:J3"/>
    <mergeCell ref="A5:J5"/>
    <mergeCell ref="A6:J6"/>
    <mergeCell ref="E8:E9"/>
    <mergeCell ref="F25:F26"/>
    <mergeCell ref="A160:A161"/>
    <mergeCell ref="B160:B161"/>
    <mergeCell ref="C160:C161"/>
    <mergeCell ref="D160:D161"/>
    <mergeCell ref="A150:A153"/>
    <mergeCell ref="B150:B153"/>
    <mergeCell ref="A101:A103"/>
    <mergeCell ref="B101:B103"/>
    <mergeCell ref="C101:C103"/>
    <mergeCell ref="E101:E103"/>
    <mergeCell ref="F101:F103"/>
    <mergeCell ref="A8:A9"/>
    <mergeCell ref="B8:B9"/>
    <mergeCell ref="C8:C9"/>
  </mergeCells>
  <pageMargins left="0.23622047244094491" right="0.27559055118110237" top="0.27559055118110237" bottom="0.15748031496062992" header="0.23622047244094491" footer="0.27559055118110237"/>
  <pageSetup paperSize="9" scale="18" fitToHeight="0" orientation="landscape" r:id="rId1"/>
  <headerFooter alignWithMargins="0">
    <oddFooter>&amp;C&amp;"Times New Roman Cyr,курсив"Сторінка &amp;P з &amp;N</oddFooter>
  </headerFooter>
  <rowBreaks count="1" manualBreakCount="1">
    <brk id="40"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
    <pageSetUpPr fitToPage="1"/>
  </sheetPr>
  <dimension ref="A3:L15"/>
  <sheetViews>
    <sheetView view="pageBreakPreview" topLeftCell="A4" zoomScaleNormal="100" zoomScaleSheetLayoutView="100" workbookViewId="0">
      <selection activeCell="K4" sqref="K4:L4"/>
    </sheetView>
  </sheetViews>
  <sheetFormatPr defaultColWidth="9.140625" defaultRowHeight="12.75" x14ac:dyDescent="0.2"/>
  <cols>
    <col min="1" max="1" width="13.85546875" style="219" customWidth="1"/>
    <col min="2" max="2" width="13.7109375" style="219" customWidth="1"/>
    <col min="3" max="3" width="13.85546875" style="219" customWidth="1"/>
    <col min="4" max="4" width="20.85546875" style="219" customWidth="1"/>
    <col min="5" max="5" width="12.28515625" style="219" customWidth="1"/>
    <col min="6" max="6" width="17" style="219" customWidth="1"/>
    <col min="7" max="7" width="14" style="219" customWidth="1"/>
    <col min="8" max="8" width="11.7109375" style="219" customWidth="1"/>
    <col min="9" max="9" width="12" style="219" customWidth="1"/>
    <col min="10" max="11" width="12.140625" style="219" customWidth="1"/>
    <col min="12" max="12" width="11.5703125" style="219" customWidth="1"/>
    <col min="13" max="16384" width="9.140625" style="219"/>
  </cols>
  <sheetData>
    <row r="3" spans="1:12" ht="15.75" customHeight="1" x14ac:dyDescent="0.2">
      <c r="A3" s="218"/>
      <c r="B3" s="218"/>
      <c r="C3" s="218"/>
      <c r="D3" s="218"/>
      <c r="E3" s="218"/>
      <c r="F3" s="218"/>
      <c r="G3" s="218"/>
      <c r="H3" s="218"/>
      <c r="I3" s="218"/>
      <c r="J3" s="586" t="s">
        <v>741</v>
      </c>
      <c r="K3" s="586"/>
      <c r="L3" s="586"/>
    </row>
    <row r="4" spans="1:12" ht="30" customHeight="1" x14ac:dyDescent="0.2">
      <c r="A4" s="220"/>
      <c r="B4" s="220"/>
      <c r="C4" s="220"/>
      <c r="D4" s="220"/>
      <c r="E4" s="220"/>
      <c r="F4" s="220"/>
      <c r="G4" s="220"/>
      <c r="H4" s="220"/>
      <c r="I4" s="220"/>
      <c r="J4" s="220"/>
      <c r="K4" s="595" t="s">
        <v>1026</v>
      </c>
      <c r="L4" s="595"/>
    </row>
    <row r="5" spans="1:12" ht="15.75" x14ac:dyDescent="0.2">
      <c r="A5" s="220"/>
      <c r="B5" s="220"/>
      <c r="C5" s="220"/>
      <c r="D5" s="220"/>
      <c r="E5" s="220"/>
      <c r="F5" s="220"/>
      <c r="G5" s="220"/>
      <c r="H5" s="220"/>
      <c r="I5" s="220"/>
      <c r="J5" s="220"/>
      <c r="K5" s="220"/>
      <c r="L5" s="220"/>
    </row>
    <row r="6" spans="1:12" ht="18.75" customHeight="1" x14ac:dyDescent="0.2">
      <c r="A6" s="587" t="s">
        <v>742</v>
      </c>
      <c r="B6" s="587"/>
      <c r="C6" s="587"/>
      <c r="D6" s="587"/>
      <c r="E6" s="587"/>
      <c r="F6" s="587"/>
      <c r="G6" s="587"/>
      <c r="H6" s="587"/>
      <c r="I6" s="587"/>
      <c r="J6" s="587"/>
      <c r="K6" s="587"/>
      <c r="L6" s="587"/>
    </row>
    <row r="7" spans="1:12" ht="40.700000000000003" customHeight="1" x14ac:dyDescent="0.2">
      <c r="A7" s="588" t="s">
        <v>743</v>
      </c>
      <c r="B7" s="588"/>
      <c r="C7" s="588"/>
      <c r="D7" s="588"/>
      <c r="E7" s="588"/>
      <c r="F7" s="588"/>
      <c r="G7" s="588"/>
      <c r="H7" s="588"/>
      <c r="I7" s="588"/>
      <c r="J7" s="588"/>
      <c r="K7" s="588"/>
      <c r="L7" s="588"/>
    </row>
    <row r="8" spans="1:12" ht="33.75" customHeight="1" x14ac:dyDescent="0.2">
      <c r="A8" s="585" t="s">
        <v>744</v>
      </c>
      <c r="B8" s="585" t="s">
        <v>745</v>
      </c>
      <c r="C8" s="585" t="s">
        <v>746</v>
      </c>
      <c r="D8" s="585" t="s">
        <v>747</v>
      </c>
      <c r="E8" s="585" t="s">
        <v>748</v>
      </c>
      <c r="F8" s="585" t="s">
        <v>749</v>
      </c>
      <c r="G8" s="585" t="s">
        <v>750</v>
      </c>
      <c r="H8" s="585" t="s">
        <v>751</v>
      </c>
      <c r="I8" s="585" t="s">
        <v>752</v>
      </c>
      <c r="J8" s="585"/>
      <c r="K8" s="585"/>
      <c r="L8" s="585" t="s">
        <v>753</v>
      </c>
    </row>
    <row r="9" spans="1:12" ht="163.5" customHeight="1" x14ac:dyDescent="0.2">
      <c r="A9" s="585"/>
      <c r="B9" s="585"/>
      <c r="C9" s="585"/>
      <c r="D9" s="585"/>
      <c r="E9" s="585"/>
      <c r="F9" s="585"/>
      <c r="G9" s="585"/>
      <c r="H9" s="585"/>
      <c r="I9" s="221" t="s">
        <v>754</v>
      </c>
      <c r="J9" s="221" t="s">
        <v>755</v>
      </c>
      <c r="K9" s="221" t="s">
        <v>756</v>
      </c>
      <c r="L9" s="585"/>
    </row>
    <row r="10" spans="1:12" x14ac:dyDescent="0.2">
      <c r="A10" s="222">
        <v>1</v>
      </c>
      <c r="B10" s="222">
        <v>2</v>
      </c>
      <c r="C10" s="222">
        <v>3</v>
      </c>
      <c r="D10" s="222">
        <v>4</v>
      </c>
      <c r="E10" s="222">
        <v>5</v>
      </c>
      <c r="F10" s="222">
        <v>6</v>
      </c>
      <c r="G10" s="222">
        <v>7</v>
      </c>
      <c r="H10" s="222">
        <v>8</v>
      </c>
      <c r="I10" s="222">
        <v>9</v>
      </c>
      <c r="J10" s="222">
        <v>10</v>
      </c>
      <c r="K10" s="222">
        <v>11</v>
      </c>
      <c r="L10" s="222">
        <v>12</v>
      </c>
    </row>
    <row r="11" spans="1:12" ht="110.25" x14ac:dyDescent="0.2">
      <c r="A11" s="223" t="s">
        <v>310</v>
      </c>
      <c r="B11" s="224">
        <v>7640</v>
      </c>
      <c r="C11" s="223" t="s">
        <v>312</v>
      </c>
      <c r="D11" s="224" t="s">
        <v>757</v>
      </c>
      <c r="E11" s="224" t="s">
        <v>758</v>
      </c>
      <c r="F11" s="224" t="s">
        <v>759</v>
      </c>
      <c r="G11" s="224" t="s">
        <v>760</v>
      </c>
      <c r="H11" s="224" t="s">
        <v>761</v>
      </c>
      <c r="I11" s="224" t="s">
        <v>762</v>
      </c>
      <c r="J11" s="225">
        <v>11839.748</v>
      </c>
      <c r="K11" s="225">
        <v>11839.748</v>
      </c>
      <c r="L11" s="225">
        <v>1183.9749999999999</v>
      </c>
    </row>
    <row r="12" spans="1:12" ht="12.75" customHeight="1" x14ac:dyDescent="0.2">
      <c r="A12" s="226" t="s">
        <v>763</v>
      </c>
      <c r="B12" s="226" t="s">
        <v>763</v>
      </c>
      <c r="C12" s="226" t="s">
        <v>763</v>
      </c>
      <c r="D12" s="227" t="s">
        <v>649</v>
      </c>
      <c r="E12" s="226" t="s">
        <v>763</v>
      </c>
      <c r="F12" s="226" t="s">
        <v>763</v>
      </c>
      <c r="G12" s="226" t="s">
        <v>763</v>
      </c>
      <c r="H12" s="226" t="s">
        <v>763</v>
      </c>
      <c r="I12" s="226" t="s">
        <v>763</v>
      </c>
      <c r="J12" s="225">
        <v>11839.748</v>
      </c>
      <c r="K12" s="225">
        <v>11839.748</v>
      </c>
      <c r="L12" s="225">
        <v>1183.9749999999999</v>
      </c>
    </row>
    <row r="13" spans="1:12" ht="15" x14ac:dyDescent="0.2">
      <c r="A13" s="228"/>
    </row>
    <row r="14" spans="1:12" ht="15.75" x14ac:dyDescent="0.2">
      <c r="B14" s="218" t="s">
        <v>1003</v>
      </c>
      <c r="I14" s="228"/>
      <c r="K14" s="218" t="s">
        <v>1009</v>
      </c>
    </row>
    <row r="15" spans="1:12" ht="15.75" x14ac:dyDescent="0.2">
      <c r="B15" s="218"/>
      <c r="G15" s="228"/>
      <c r="K15" s="218"/>
    </row>
  </sheetData>
  <mergeCells count="14">
    <mergeCell ref="H8:H9"/>
    <mergeCell ref="I8:K8"/>
    <mergeCell ref="L8:L9"/>
    <mergeCell ref="J3:L3"/>
    <mergeCell ref="A6:L6"/>
    <mergeCell ref="A7:L7"/>
    <mergeCell ref="A8:A9"/>
    <mergeCell ref="B8:B9"/>
    <mergeCell ref="C8:C9"/>
    <mergeCell ref="D8:D9"/>
    <mergeCell ref="E8:E9"/>
    <mergeCell ref="F8:F9"/>
    <mergeCell ref="G8:G9"/>
    <mergeCell ref="K4:L4"/>
  </mergeCells>
  <pageMargins left="0.19685039370078741" right="0.19685039370078741" top="0.19685039370078741" bottom="0.19685039370078741" header="0" footer="0"/>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15</vt:i4>
      </vt:variant>
      <vt:variant>
        <vt:lpstr>Іменовані діапазони</vt:lpstr>
      </vt:variant>
      <vt:variant>
        <vt:i4>23</vt:i4>
      </vt:variant>
    </vt:vector>
  </HeadingPairs>
  <TitlesOfParts>
    <vt:vector size="38" baseType="lpstr">
      <vt:lpstr>d1</vt:lpstr>
      <vt:lpstr>d2</vt:lpstr>
      <vt:lpstr>d3</vt:lpstr>
      <vt:lpstr>d4</vt:lpstr>
      <vt:lpstr>d5</vt:lpstr>
      <vt:lpstr>d6</vt:lpstr>
      <vt:lpstr>d7</vt:lpstr>
      <vt:lpstr>d8</vt:lpstr>
      <vt:lpstr>d9</vt:lpstr>
      <vt:lpstr>d3-чистий</vt:lpstr>
      <vt:lpstr>Різниця-чиста</vt:lpstr>
      <vt:lpstr>d3-10</vt:lpstr>
      <vt:lpstr>Різниця міжсесійна</vt:lpstr>
      <vt:lpstr>d3 до МВК</vt:lpstr>
      <vt:lpstr>Різниця після МВК</vt:lpstr>
      <vt:lpstr>'d3'!Заголовки_для_друку</vt:lpstr>
      <vt:lpstr>'d3 до МВК'!Заголовки_для_друку</vt:lpstr>
      <vt:lpstr>'d3-10'!Заголовки_для_друку</vt:lpstr>
      <vt:lpstr>'d3-чистий'!Заголовки_для_друку</vt:lpstr>
      <vt:lpstr>'d5'!Заголовки_для_друку</vt:lpstr>
      <vt:lpstr>'d8'!Заголовки_для_друку</vt:lpstr>
      <vt:lpstr>'Різниця міжсесійна'!Заголовки_для_друку</vt:lpstr>
      <vt:lpstr>'Різниця після МВК'!Заголовки_для_друку</vt:lpstr>
      <vt:lpstr>'Різниця-чиста'!Заголовки_для_друку</vt:lpstr>
      <vt:lpstr>'d1'!Область_друку</vt:lpstr>
      <vt:lpstr>'d2'!Область_друку</vt:lpstr>
      <vt:lpstr>'d3'!Область_друку</vt:lpstr>
      <vt:lpstr>'d3 до МВК'!Область_друку</vt:lpstr>
      <vt:lpstr>'d3-10'!Область_друку</vt:lpstr>
      <vt:lpstr>'d3-чистий'!Область_друку</vt:lpstr>
      <vt:lpstr>'d4'!Область_друку</vt:lpstr>
      <vt:lpstr>'d5'!Область_друку</vt:lpstr>
      <vt:lpstr>'d6'!Область_друку</vt:lpstr>
      <vt:lpstr>'d7'!Область_друку</vt:lpstr>
      <vt:lpstr>'d8'!Область_друку</vt:lpstr>
      <vt:lpstr>'Різниця міжсесійна'!Область_друку</vt:lpstr>
      <vt:lpstr>'Різниця після МВК'!Область_друку</vt:lpstr>
      <vt:lpstr>'Різниця-чиста'!Область_друку</vt:lpstr>
    </vt:vector>
  </TitlesOfParts>
  <Company>Міське фінуправління</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Полюк Роман Анатолійович</cp:lastModifiedBy>
  <cp:lastPrinted>2019-11-27T14:14:55Z</cp:lastPrinted>
  <dcterms:created xsi:type="dcterms:W3CDTF">2001-12-03T09:30:42Z</dcterms:created>
  <dcterms:modified xsi:type="dcterms:W3CDTF">2019-12-12T14:25:46Z</dcterms:modified>
</cp:coreProperties>
</file>