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\\server\zagvid\рішення 2020\28.05.2020 РОЗШИРЕНИЙ х 2\"/>
    </mc:Choice>
  </mc:AlternateContent>
  <bookViews>
    <workbookView xWindow="0" yWindow="0" windowWidth="20400" windowHeight="7755" tabRatio="585" activeTab="7"/>
  </bookViews>
  <sheets>
    <sheet name="d1" sheetId="138" r:id="rId1"/>
    <sheet name="d2" sheetId="127" r:id="rId2"/>
    <sheet name="d3" sheetId="97" r:id="rId3"/>
    <sheet name="d4" sheetId="107" r:id="rId4"/>
    <sheet name="d5" sheetId="150" r:id="rId5"/>
    <sheet name="d6" sheetId="108" r:id="rId6"/>
    <sheet name="d7" sheetId="153" r:id="rId7"/>
    <sheet name="d8" sheetId="125" r:id="rId8"/>
  </sheets>
  <definedNames>
    <definedName name="_GoBack" localSheetId="4">'d5'!#REF!</definedName>
    <definedName name="_xlnm.Print_Titles" localSheetId="2">'d3'!$12:$15</definedName>
    <definedName name="_xlnm.Print_Titles" localSheetId="4">'d5'!$9:$10</definedName>
    <definedName name="_xlnm.Print_Titles" localSheetId="7">'d8'!$11:$13</definedName>
    <definedName name="_xlnm.Print_Area" localSheetId="0">'d1'!$A$1:$F$105</definedName>
    <definedName name="_xlnm.Print_Area" localSheetId="1">'d2'!$A$1:$F$41</definedName>
    <definedName name="_xlnm.Print_Area" localSheetId="2">'d3'!$A$1:$P$173</definedName>
    <definedName name="_xlnm.Print_Area" localSheetId="3">'d4'!$B$1:$Q$19</definedName>
    <definedName name="_xlnm.Print_Area" localSheetId="4">'d5'!$A$1:$K$223</definedName>
    <definedName name="_xlnm.Print_Area" localSheetId="5">'d6'!$A$1:$D$35</definedName>
    <definedName name="_xlnm.Print_Area" localSheetId="6">'d7'!$A$1:$F$25</definedName>
    <definedName name="_xlnm.Print_Area" localSheetId="7">'d8'!$A$1:$J$214</definedName>
    <definedName name="С16" localSheetId="0">#REF!</definedName>
    <definedName name="С16" localSheetId="1">#REF!</definedName>
    <definedName name="С16" localSheetId="4">#REF!</definedName>
    <definedName name="С16" localSheetId="6">#REF!</definedName>
    <definedName name="С16" localSheetId="7">#REF!</definedName>
    <definedName name="С16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7" i="107" l="1"/>
  <c r="O17" i="107"/>
  <c r="J72" i="150" l="1"/>
  <c r="K53" i="97"/>
  <c r="F46" i="97"/>
  <c r="R104" i="97"/>
  <c r="J17" i="150"/>
  <c r="K20" i="97"/>
  <c r="J25" i="150"/>
  <c r="J23" i="150"/>
  <c r="K30" i="97"/>
  <c r="F30" i="97"/>
  <c r="F108" i="97"/>
  <c r="J33" i="150"/>
  <c r="K31" i="97"/>
  <c r="O167" i="97"/>
  <c r="K167" i="97"/>
  <c r="J167" i="97"/>
  <c r="F167" i="97"/>
  <c r="J201" i="150"/>
  <c r="K189" i="150"/>
  <c r="J189" i="150"/>
  <c r="K131" i="97"/>
  <c r="K128" i="97"/>
  <c r="J23" i="125" l="1"/>
  <c r="M23" i="125" s="1"/>
  <c r="H18" i="125" l="1"/>
  <c r="M17" i="125"/>
  <c r="G19" i="125"/>
  <c r="P167" i="97" l="1"/>
  <c r="J183" i="150" l="1"/>
  <c r="K126" i="97"/>
  <c r="D14" i="138" l="1"/>
  <c r="K174" i="150" l="1"/>
  <c r="F31" i="97" l="1"/>
  <c r="G167" i="97"/>
  <c r="G30" i="97"/>
  <c r="I52" i="150"/>
  <c r="J52" i="150"/>
  <c r="K52" i="150" s="1"/>
  <c r="F140" i="97" l="1"/>
  <c r="F62" i="97"/>
  <c r="C29" i="127" l="1"/>
  <c r="E29" i="127"/>
  <c r="F29" i="127"/>
  <c r="C28" i="127"/>
  <c r="F28" i="127"/>
  <c r="E28" i="127"/>
  <c r="C22" i="127"/>
  <c r="C21" i="127"/>
  <c r="F22" i="127"/>
  <c r="E22" i="127"/>
  <c r="F21" i="127"/>
  <c r="E21" i="127"/>
  <c r="K121" i="150" l="1"/>
  <c r="F138" i="97"/>
  <c r="K201" i="150"/>
  <c r="I201" i="150"/>
  <c r="J200" i="150"/>
  <c r="K200" i="150" s="1"/>
  <c r="I200" i="150"/>
  <c r="K197" i="150"/>
  <c r="I197" i="150"/>
  <c r="J196" i="150"/>
  <c r="K196" i="150" s="1"/>
  <c r="I196" i="150"/>
  <c r="J195" i="150"/>
  <c r="K195" i="150" s="1"/>
  <c r="I195" i="150"/>
  <c r="K194" i="150"/>
  <c r="I194" i="150"/>
  <c r="J193" i="150"/>
  <c r="K193" i="150" s="1"/>
  <c r="I193" i="150"/>
  <c r="J192" i="150"/>
  <c r="K192" i="150" s="1"/>
  <c r="I192" i="150"/>
  <c r="J191" i="150"/>
  <c r="K191" i="150" s="1"/>
  <c r="I191" i="150"/>
  <c r="K190" i="150"/>
  <c r="I190" i="150"/>
  <c r="I189" i="150"/>
  <c r="J187" i="150"/>
  <c r="H187" i="150"/>
  <c r="I187" i="150" s="1"/>
  <c r="J186" i="150"/>
  <c r="H186" i="150"/>
  <c r="I186" i="150" s="1"/>
  <c r="J185" i="150"/>
  <c r="H185" i="150"/>
  <c r="I185" i="150" s="1"/>
  <c r="K184" i="150"/>
  <c r="J184" i="150"/>
  <c r="I184" i="150"/>
  <c r="H183" i="150"/>
  <c r="I183" i="150" s="1"/>
  <c r="K187" i="150" l="1"/>
  <c r="K183" i="150"/>
  <c r="K186" i="150"/>
  <c r="K185" i="150"/>
  <c r="K130" i="97" l="1"/>
  <c r="L153" i="97"/>
  <c r="O150" i="97"/>
  <c r="L150" i="97"/>
  <c r="K168" i="153" l="1"/>
  <c r="F20" i="153"/>
  <c r="F22" i="153" s="1"/>
  <c r="K129" i="97" l="1"/>
  <c r="K127" i="97"/>
  <c r="J164" i="125"/>
  <c r="I164" i="125"/>
  <c r="H164" i="125"/>
  <c r="F116" i="97"/>
  <c r="J156" i="125"/>
  <c r="I156" i="125"/>
  <c r="H160" i="125"/>
  <c r="J144" i="150"/>
  <c r="K179" i="150"/>
  <c r="K170" i="150"/>
  <c r="J169" i="150"/>
  <c r="I169" i="150"/>
  <c r="J168" i="150"/>
  <c r="K167" i="150"/>
  <c r="I167" i="150"/>
  <c r="K166" i="150"/>
  <c r="K165" i="150"/>
  <c r="K164" i="150"/>
  <c r="K163" i="150"/>
  <c r="J162" i="150"/>
  <c r="K162" i="150" s="1"/>
  <c r="I162" i="150"/>
  <c r="J161" i="150"/>
  <c r="H161" i="150"/>
  <c r="I161" i="150" s="1"/>
  <c r="J155" i="150"/>
  <c r="K155" i="150" s="1"/>
  <c r="J152" i="150"/>
  <c r="J151" i="150"/>
  <c r="J150" i="150"/>
  <c r="J148" i="150"/>
  <c r="K148" i="150" s="1"/>
  <c r="J147" i="150"/>
  <c r="J146" i="150"/>
  <c r="J143" i="150"/>
  <c r="K143" i="150" s="1"/>
  <c r="I143" i="150"/>
  <c r="J141" i="150"/>
  <c r="J140" i="150"/>
  <c r="K140" i="150" s="1"/>
  <c r="J139" i="150"/>
  <c r="K139" i="150" s="1"/>
  <c r="I139" i="150"/>
  <c r="J134" i="150"/>
  <c r="K133" i="150"/>
  <c r="K131" i="150"/>
  <c r="J130" i="150"/>
  <c r="K130" i="150" s="1"/>
  <c r="J129" i="150"/>
  <c r="J128" i="150"/>
  <c r="J127" i="150"/>
  <c r="K127" i="150" s="1"/>
  <c r="J126" i="150"/>
  <c r="J125" i="150"/>
  <c r="J124" i="150"/>
  <c r="J120" i="150"/>
  <c r="J118" i="150" s="1"/>
  <c r="J117" i="150"/>
  <c r="J116" i="150"/>
  <c r="J137" i="150" l="1"/>
  <c r="J123" i="150"/>
  <c r="J114" i="150" s="1"/>
  <c r="J149" i="150"/>
  <c r="J145" i="150"/>
  <c r="K169" i="150"/>
  <c r="K150" i="150"/>
  <c r="K117" i="97" l="1"/>
  <c r="K115" i="97"/>
  <c r="K114" i="97"/>
  <c r="K113" i="97"/>
  <c r="K112" i="97"/>
  <c r="K110" i="97"/>
  <c r="K109" i="97"/>
  <c r="K106" i="97"/>
  <c r="F115" i="97"/>
  <c r="F112" i="97"/>
  <c r="F107" i="97"/>
  <c r="F106" i="97"/>
  <c r="H43" i="97"/>
  <c r="G31" i="97"/>
  <c r="O115" i="97" l="1"/>
  <c r="J193" i="125" l="1"/>
  <c r="I193" i="125"/>
  <c r="K143" i="97"/>
  <c r="J210" i="150"/>
  <c r="J198" i="125"/>
  <c r="I198" i="125"/>
  <c r="H198" i="125"/>
  <c r="H197" i="125"/>
  <c r="J211" i="150"/>
  <c r="K146" i="97"/>
  <c r="F146" i="97"/>
  <c r="H196" i="125"/>
  <c r="F145" i="97"/>
  <c r="H194" i="125"/>
  <c r="F144" i="97"/>
  <c r="F86" i="97"/>
  <c r="H115" i="125"/>
  <c r="F83" i="97"/>
  <c r="K83" i="97"/>
  <c r="J117" i="125"/>
  <c r="I117" i="125"/>
  <c r="R84" i="97"/>
  <c r="J110" i="125"/>
  <c r="I110" i="125"/>
  <c r="K80" i="97"/>
  <c r="F80" i="97"/>
  <c r="G80" i="97"/>
  <c r="J113" i="125"/>
  <c r="I113" i="125"/>
  <c r="H113" i="125"/>
  <c r="R82" i="97"/>
  <c r="F82" i="97"/>
  <c r="R80" i="97" l="1"/>
  <c r="G14" i="107"/>
  <c r="F100" i="97"/>
  <c r="F97" i="97"/>
  <c r="F93" i="97"/>
  <c r="F92" i="97"/>
  <c r="F91" i="97"/>
  <c r="R101" i="97"/>
  <c r="K91" i="97"/>
  <c r="H129" i="125"/>
  <c r="J127" i="125"/>
  <c r="I127" i="125"/>
  <c r="R90" i="97"/>
  <c r="F90" i="97"/>
  <c r="J134" i="125"/>
  <c r="I134" i="125"/>
  <c r="H134" i="125"/>
  <c r="J108" i="150"/>
  <c r="J107" i="150"/>
  <c r="J106" i="150"/>
  <c r="K95" i="97"/>
  <c r="H95" i="97"/>
  <c r="F95" i="97"/>
  <c r="R91" i="97" l="1"/>
  <c r="J88" i="150" l="1"/>
  <c r="K75" i="97"/>
  <c r="J99" i="125"/>
  <c r="I99" i="125"/>
  <c r="J81" i="150"/>
  <c r="J83" i="150"/>
  <c r="J82" i="150"/>
  <c r="K72" i="97"/>
  <c r="F60" i="97"/>
  <c r="F65" i="97"/>
  <c r="F73" i="97"/>
  <c r="J78" i="150"/>
  <c r="K58" i="97"/>
  <c r="I61" i="150"/>
  <c r="J91" i="125"/>
  <c r="I91" i="125"/>
  <c r="J80" i="150"/>
  <c r="K66" i="97"/>
  <c r="F66" i="97"/>
  <c r="H66" i="97"/>
  <c r="K33" i="97"/>
  <c r="J51" i="150"/>
  <c r="J49" i="150"/>
  <c r="J48" i="150"/>
  <c r="J56" i="150"/>
  <c r="R33" i="97" s="1"/>
  <c r="J43" i="150"/>
  <c r="J42" i="150"/>
  <c r="J45" i="150"/>
  <c r="J37" i="150"/>
  <c r="J30" i="150"/>
  <c r="J32" i="150"/>
  <c r="J38" i="125"/>
  <c r="I38" i="125"/>
  <c r="J31" i="150"/>
  <c r="K32" i="97"/>
  <c r="R40" i="97"/>
  <c r="J54" i="150"/>
  <c r="R30" i="97" l="1"/>
  <c r="R72" i="97"/>
  <c r="F33" i="97"/>
  <c r="F36" i="97"/>
  <c r="F32" i="97"/>
  <c r="F34" i="97"/>
  <c r="H34" i="97"/>
  <c r="H30" i="97" l="1"/>
  <c r="G38" i="97"/>
  <c r="F38" i="97"/>
  <c r="H38" i="125"/>
  <c r="H31" i="97"/>
  <c r="J77" i="125" l="1"/>
  <c r="I77" i="125"/>
  <c r="F47" i="97"/>
  <c r="F52" i="97"/>
  <c r="F50" i="97"/>
  <c r="F51" i="97" l="1"/>
  <c r="F45" i="97"/>
  <c r="H63" i="125"/>
  <c r="J73" i="150"/>
  <c r="H60" i="125"/>
  <c r="J68" i="150"/>
  <c r="H55" i="125"/>
  <c r="F44" i="97"/>
  <c r="J67" i="150"/>
  <c r="J64" i="150"/>
  <c r="K44" i="97"/>
  <c r="D26" i="108"/>
  <c r="D25" i="108"/>
  <c r="D27" i="108"/>
  <c r="D24" i="108"/>
  <c r="L118" i="97"/>
  <c r="L76" i="97"/>
  <c r="L22" i="97"/>
  <c r="J30" i="125"/>
  <c r="I30" i="125"/>
  <c r="J31" i="125"/>
  <c r="I31" i="125"/>
  <c r="H28" i="125"/>
  <c r="J18" i="150"/>
  <c r="J14" i="150"/>
  <c r="K27" i="97"/>
  <c r="F27" i="97"/>
  <c r="R27" i="97" l="1"/>
  <c r="J13" i="150"/>
  <c r="J12" i="150" s="1"/>
  <c r="K18" i="97"/>
  <c r="F20" i="97"/>
  <c r="F19" i="97"/>
  <c r="G18" i="97"/>
  <c r="F18" i="97"/>
  <c r="H161" i="97"/>
  <c r="G161" i="97"/>
  <c r="F161" i="97"/>
  <c r="G156" i="97"/>
  <c r="F156" i="97"/>
  <c r="G149" i="97"/>
  <c r="F149" i="97"/>
  <c r="G138" i="97"/>
  <c r="F134" i="97"/>
  <c r="G134" i="97"/>
  <c r="G124" i="97"/>
  <c r="F124" i="97"/>
  <c r="H104" i="97"/>
  <c r="G104" i="97"/>
  <c r="F104" i="97"/>
  <c r="H57" i="97"/>
  <c r="G57" i="97"/>
  <c r="F57" i="97"/>
  <c r="G43" i="97"/>
  <c r="F43" i="97"/>
  <c r="H121" i="97"/>
  <c r="L167" i="97"/>
  <c r="J175" i="97" s="1"/>
  <c r="H167" i="97"/>
  <c r="F103" i="97" l="1"/>
  <c r="C94" i="138"/>
  <c r="F139" i="97" l="1"/>
  <c r="R146" i="97" l="1"/>
  <c r="R138" i="97"/>
  <c r="R121" i="97"/>
  <c r="R96" i="97"/>
  <c r="R89" i="97"/>
  <c r="J97" i="150"/>
  <c r="R83" i="97" s="1"/>
  <c r="R74" i="97"/>
  <c r="R73" i="97"/>
  <c r="J76" i="150"/>
  <c r="J75" i="150" s="1"/>
  <c r="I67" i="150"/>
  <c r="J65" i="150"/>
  <c r="R53" i="97" s="1"/>
  <c r="R44" i="97" l="1"/>
  <c r="J63" i="150"/>
  <c r="J53" i="150"/>
  <c r="J47" i="150" l="1"/>
  <c r="R31" i="97" s="1"/>
  <c r="J213" i="150" l="1"/>
  <c r="J212" i="150" s="1"/>
  <c r="J209" i="150"/>
  <c r="J206" i="150"/>
  <c r="J205" i="150" s="1"/>
  <c r="J203" i="150"/>
  <c r="J202" i="150" s="1"/>
  <c r="H108" i="150"/>
  <c r="K107" i="150"/>
  <c r="J101" i="150"/>
  <c r="J100" i="150" s="1"/>
  <c r="K105" i="150"/>
  <c r="I105" i="150"/>
  <c r="K99" i="150"/>
  <c r="I99" i="150"/>
  <c r="K97" i="150"/>
  <c r="I97" i="150"/>
  <c r="J90" i="150"/>
  <c r="J89" i="150" s="1"/>
  <c r="H94" i="150"/>
  <c r="I94" i="150" s="1"/>
  <c r="K93" i="150"/>
  <c r="K92" i="150"/>
  <c r="K88" i="150"/>
  <c r="I88" i="150"/>
  <c r="H84" i="150"/>
  <c r="K84" i="150" s="1"/>
  <c r="K83" i="150"/>
  <c r="K82" i="150"/>
  <c r="K71" i="150"/>
  <c r="K70" i="150"/>
  <c r="K66" i="150"/>
  <c r="K59" i="150"/>
  <c r="I59" i="150"/>
  <c r="K57" i="150"/>
  <c r="K56" i="150"/>
  <c r="I56" i="150"/>
  <c r="K53" i="150"/>
  <c r="K51" i="150"/>
  <c r="K49" i="150"/>
  <c r="K48" i="150"/>
  <c r="K47" i="150"/>
  <c r="I46" i="150"/>
  <c r="K45" i="150"/>
  <c r="I45" i="150"/>
  <c r="I43" i="150"/>
  <c r="K37" i="150"/>
  <c r="I37" i="150"/>
  <c r="K34" i="150"/>
  <c r="I34" i="150"/>
  <c r="J22" i="150"/>
  <c r="I32" i="150"/>
  <c r="I29" i="150"/>
  <c r="K27" i="150"/>
  <c r="K25" i="150"/>
  <c r="I25" i="150"/>
  <c r="K24" i="150"/>
  <c r="I24" i="150"/>
  <c r="K16" i="150"/>
  <c r="K15" i="150"/>
  <c r="K94" i="150" l="1"/>
  <c r="J208" i="150"/>
  <c r="I84" i="150"/>
  <c r="J62" i="150"/>
  <c r="J21" i="150"/>
  <c r="J182" i="150"/>
  <c r="J181" i="150" s="1"/>
  <c r="J11" i="150"/>
  <c r="J113" i="150" l="1"/>
  <c r="J74" i="150"/>
  <c r="J219" i="150" l="1"/>
  <c r="M167" i="97"/>
  <c r="F25" i="97" l="1"/>
  <c r="H17" i="125" l="1"/>
  <c r="F163" i="97" l="1"/>
  <c r="G165" i="125" l="1"/>
  <c r="H16" i="125" l="1"/>
  <c r="J168" i="125"/>
  <c r="J166" i="125" l="1"/>
  <c r="I166" i="125"/>
  <c r="I81" i="125" l="1"/>
  <c r="J81" i="125"/>
  <c r="J16" i="125"/>
  <c r="I16" i="125"/>
  <c r="R143" i="97" l="1"/>
  <c r="R95" i="97"/>
  <c r="R75" i="97"/>
  <c r="R66" i="97"/>
  <c r="R58" i="97"/>
  <c r="K57" i="97"/>
  <c r="R32" i="97"/>
  <c r="O22" i="97"/>
  <c r="R20" i="97"/>
  <c r="R18" i="97"/>
  <c r="F162" i="97"/>
  <c r="F96" i="97"/>
  <c r="G95" i="97"/>
  <c r="G91" i="97"/>
  <c r="G89" i="97"/>
  <c r="F89" i="97"/>
  <c r="G83" i="97"/>
  <c r="F81" i="97"/>
  <c r="G72" i="97"/>
  <c r="F72" i="97"/>
  <c r="K42" i="97"/>
  <c r="R42" i="97" s="1"/>
  <c r="G33" i="97"/>
  <c r="F26" i="97"/>
  <c r="R57" i="97" l="1"/>
  <c r="J50" i="125"/>
  <c r="M29" i="97"/>
  <c r="I29" i="97"/>
  <c r="O40" i="97"/>
  <c r="E40" i="97"/>
  <c r="J40" i="97" l="1"/>
  <c r="H50" i="125"/>
  <c r="J203" i="125"/>
  <c r="O152" i="97"/>
  <c r="E152" i="97"/>
  <c r="J185" i="125"/>
  <c r="J184" i="125" s="1"/>
  <c r="J183" i="125" s="1"/>
  <c r="O135" i="97"/>
  <c r="E135" i="97"/>
  <c r="N133" i="97"/>
  <c r="M133" i="97"/>
  <c r="L133" i="97"/>
  <c r="K133" i="97"/>
  <c r="R133" i="97" s="1"/>
  <c r="I133" i="97"/>
  <c r="G133" i="97"/>
  <c r="F133" i="97"/>
  <c r="G156" i="125"/>
  <c r="G160" i="125"/>
  <c r="J172" i="125"/>
  <c r="G167" i="125"/>
  <c r="I50" i="125" l="1"/>
  <c r="G50" i="125" s="1"/>
  <c r="P40" i="97"/>
  <c r="H185" i="125"/>
  <c r="H184" i="125" s="1"/>
  <c r="H183" i="125" s="1"/>
  <c r="H203" i="125"/>
  <c r="J152" i="97"/>
  <c r="J135" i="97"/>
  <c r="I203" i="125" l="1"/>
  <c r="G203" i="125" s="1"/>
  <c r="P152" i="97"/>
  <c r="I185" i="125"/>
  <c r="P135" i="97"/>
  <c r="I184" i="125" l="1"/>
  <c r="I183" i="125" s="1"/>
  <c r="G185" i="125"/>
  <c r="G184" i="125" s="1"/>
  <c r="G183" i="125" s="1"/>
  <c r="O120" i="97"/>
  <c r="E120" i="97"/>
  <c r="E121" i="97"/>
  <c r="O121" i="97"/>
  <c r="O128" i="97"/>
  <c r="E128" i="97"/>
  <c r="J128" i="97" l="1"/>
  <c r="J120" i="97"/>
  <c r="J121" i="97"/>
  <c r="J155" i="125"/>
  <c r="H179" i="125"/>
  <c r="J158" i="125"/>
  <c r="H172" i="125"/>
  <c r="I179" i="125"/>
  <c r="G179" i="125" s="1"/>
  <c r="P128" i="97" l="1"/>
  <c r="P121" i="97"/>
  <c r="I172" i="125"/>
  <c r="G172" i="125" s="1"/>
  <c r="P120" i="97"/>
  <c r="J179" i="125"/>
  <c r="J36" i="125" l="1"/>
  <c r="G38" i="125"/>
  <c r="H29" i="97" l="1"/>
  <c r="K29" i="97"/>
  <c r="R29" i="97" s="1"/>
  <c r="M28" i="125"/>
  <c r="G31" i="125"/>
  <c r="G30" i="125"/>
  <c r="G28" i="125"/>
  <c r="G29" i="125"/>
  <c r="G32" i="125"/>
  <c r="J27" i="125"/>
  <c r="M27" i="125" s="1"/>
  <c r="G29" i="97" l="1"/>
  <c r="F29" i="97"/>
  <c r="N17" i="97"/>
  <c r="M17" i="97"/>
  <c r="G17" i="97"/>
  <c r="I17" i="97"/>
  <c r="O27" i="97"/>
  <c r="E27" i="97"/>
  <c r="J170" i="125"/>
  <c r="J105" i="125"/>
  <c r="M105" i="125" s="1"/>
  <c r="J25" i="125"/>
  <c r="M25" i="125" s="1"/>
  <c r="J24" i="97"/>
  <c r="E24" i="97"/>
  <c r="I25" i="125" l="1"/>
  <c r="L25" i="125" s="1"/>
  <c r="J27" i="97"/>
  <c r="K17" i="97"/>
  <c r="R17" i="97" s="1"/>
  <c r="E25" i="97"/>
  <c r="P24" i="97"/>
  <c r="K28" i="125"/>
  <c r="H25" i="125"/>
  <c r="K25" i="125" s="1"/>
  <c r="G20" i="125"/>
  <c r="G18" i="125"/>
  <c r="P27" i="97" l="1"/>
  <c r="L28" i="125"/>
  <c r="F17" i="97"/>
  <c r="G25" i="125"/>
  <c r="G115" i="125"/>
  <c r="G117" i="125"/>
  <c r="J116" i="125"/>
  <c r="J109" i="125"/>
  <c r="G110" i="125"/>
  <c r="G113" i="125"/>
  <c r="J137" i="125"/>
  <c r="O98" i="97"/>
  <c r="E98" i="97"/>
  <c r="J139" i="125"/>
  <c r="J142" i="125"/>
  <c r="O100" i="97"/>
  <c r="J112" i="125" l="1"/>
  <c r="E100" i="97"/>
  <c r="J114" i="125"/>
  <c r="H137" i="125"/>
  <c r="J98" i="97"/>
  <c r="J100" i="97"/>
  <c r="P98" i="97"/>
  <c r="G129" i="125"/>
  <c r="J126" i="125"/>
  <c r="G127" i="125"/>
  <c r="G134" i="125"/>
  <c r="H139" i="125" l="1"/>
  <c r="I139" i="125"/>
  <c r="P100" i="97"/>
  <c r="J133" i="125"/>
  <c r="J128" i="125"/>
  <c r="I137" i="125"/>
  <c r="G137" i="125" s="1"/>
  <c r="G91" i="125"/>
  <c r="G99" i="125"/>
  <c r="J98" i="125"/>
  <c r="G77" i="125"/>
  <c r="J61" i="125"/>
  <c r="G63" i="125"/>
  <c r="J58" i="125"/>
  <c r="G60" i="125"/>
  <c r="J53" i="125"/>
  <c r="G55" i="125"/>
  <c r="J78" i="125"/>
  <c r="H78" i="125"/>
  <c r="N42" i="97"/>
  <c r="M42" i="97"/>
  <c r="L42" i="97"/>
  <c r="I42" i="97"/>
  <c r="H42" i="97"/>
  <c r="G42" i="97"/>
  <c r="O54" i="97"/>
  <c r="E54" i="97"/>
  <c r="J56" i="125"/>
  <c r="J45" i="97"/>
  <c r="E45" i="97"/>
  <c r="J90" i="125" l="1"/>
  <c r="H56" i="125"/>
  <c r="F42" i="97"/>
  <c r="I56" i="125"/>
  <c r="J75" i="125"/>
  <c r="J54" i="97"/>
  <c r="P45" i="97"/>
  <c r="G56" i="125" l="1"/>
  <c r="I78" i="125"/>
  <c r="G78" i="125" s="1"/>
  <c r="P54" i="97"/>
  <c r="L17" i="97" l="1"/>
  <c r="K15" i="107" l="1"/>
  <c r="M16" i="107"/>
  <c r="O16" i="107"/>
  <c r="G207" i="125" l="1"/>
  <c r="G145" i="125"/>
  <c r="K13" i="107" l="1"/>
  <c r="Q16" i="107"/>
  <c r="C81" i="138" l="1"/>
  <c r="J93" i="125" l="1"/>
  <c r="J88" i="125"/>
  <c r="J87" i="125"/>
  <c r="F68" i="97"/>
  <c r="O68" i="97"/>
  <c r="O64" i="97"/>
  <c r="E64" i="97"/>
  <c r="O63" i="97"/>
  <c r="E63" i="97"/>
  <c r="E65" i="97"/>
  <c r="N65" i="97"/>
  <c r="O65" i="97"/>
  <c r="O50" i="97"/>
  <c r="J69" i="125"/>
  <c r="E50" i="97"/>
  <c r="H88" i="125" l="1"/>
  <c r="H69" i="125"/>
  <c r="J65" i="97"/>
  <c r="J63" i="97"/>
  <c r="E68" i="97"/>
  <c r="J64" i="97"/>
  <c r="J50" i="97"/>
  <c r="H87" i="125"/>
  <c r="J68" i="97"/>
  <c r="C100" i="138"/>
  <c r="C99" i="138"/>
  <c r="C98" i="138"/>
  <c r="C97" i="138"/>
  <c r="D96" i="138"/>
  <c r="C95" i="138"/>
  <c r="C93" i="138"/>
  <c r="C92" i="138"/>
  <c r="C90" i="138"/>
  <c r="C89" i="138"/>
  <c r="D88" i="138"/>
  <c r="C88" i="138" s="1"/>
  <c r="E87" i="138"/>
  <c r="C86" i="138"/>
  <c r="C85" i="138"/>
  <c r="C82" i="138"/>
  <c r="C80" i="138"/>
  <c r="C79" i="138"/>
  <c r="F78" i="138"/>
  <c r="F77" i="138" s="1"/>
  <c r="E78" i="138"/>
  <c r="C78" i="138" s="1"/>
  <c r="C76" i="138"/>
  <c r="C75" i="138"/>
  <c r="F74" i="138"/>
  <c r="E74" i="138"/>
  <c r="D73" i="138"/>
  <c r="C72" i="138"/>
  <c r="C71" i="138"/>
  <c r="C70" i="138"/>
  <c r="C69" i="138"/>
  <c r="C68" i="138"/>
  <c r="C67" i="138"/>
  <c r="C66" i="138"/>
  <c r="E65" i="138"/>
  <c r="C65" i="138" s="1"/>
  <c r="D64" i="138"/>
  <c r="C63" i="138"/>
  <c r="C62" i="138"/>
  <c r="C61" i="138"/>
  <c r="E60" i="138"/>
  <c r="D60" i="138"/>
  <c r="C59" i="138"/>
  <c r="C58" i="138"/>
  <c r="D57" i="138"/>
  <c r="D52" i="138" s="1"/>
  <c r="C56" i="138"/>
  <c r="C55" i="138"/>
  <c r="C54" i="138"/>
  <c r="C53" i="138"/>
  <c r="C51" i="138"/>
  <c r="C50" i="138"/>
  <c r="C49" i="138"/>
  <c r="D48" i="138"/>
  <c r="C48" i="138" s="1"/>
  <c r="C47" i="138"/>
  <c r="C46" i="138"/>
  <c r="F45" i="138"/>
  <c r="C44" i="138"/>
  <c r="C43" i="138"/>
  <c r="C42" i="138"/>
  <c r="D41" i="138"/>
  <c r="C41" i="138" s="1"/>
  <c r="C40" i="138"/>
  <c r="C39" i="138"/>
  <c r="D38" i="138"/>
  <c r="C38" i="138" s="1"/>
  <c r="C37" i="138"/>
  <c r="C36" i="138"/>
  <c r="D35" i="138"/>
  <c r="C35" i="138" s="1"/>
  <c r="C34" i="138"/>
  <c r="C33" i="138"/>
  <c r="C32" i="138"/>
  <c r="C31" i="138"/>
  <c r="C30" i="138"/>
  <c r="C29" i="138"/>
  <c r="C28" i="138"/>
  <c r="C27" i="138"/>
  <c r="C26" i="138"/>
  <c r="C25" i="138"/>
  <c r="D24" i="138"/>
  <c r="C24" i="138" s="1"/>
  <c r="C22" i="138"/>
  <c r="C21" i="138"/>
  <c r="C20" i="138"/>
  <c r="C19" i="138"/>
  <c r="C18" i="138"/>
  <c r="C17" i="138"/>
  <c r="C16" i="138"/>
  <c r="C15" i="138"/>
  <c r="C14" i="138"/>
  <c r="C96" i="138" l="1"/>
  <c r="D91" i="138"/>
  <c r="C91" i="138" s="1"/>
  <c r="P63" i="97"/>
  <c r="C57" i="138"/>
  <c r="C60" i="138"/>
  <c r="P68" i="97"/>
  <c r="P64" i="97"/>
  <c r="P65" i="97"/>
  <c r="P50" i="97"/>
  <c r="E77" i="138"/>
  <c r="C77" i="138" s="1"/>
  <c r="H93" i="125"/>
  <c r="I93" i="125"/>
  <c r="I69" i="125"/>
  <c r="G69" i="125" s="1"/>
  <c r="I87" i="125"/>
  <c r="G87" i="125" s="1"/>
  <c r="I88" i="125"/>
  <c r="G88" i="125" s="1"/>
  <c r="C74" i="138"/>
  <c r="D23" i="138"/>
  <c r="C23" i="138" s="1"/>
  <c r="E64" i="138"/>
  <c r="C64" i="138" s="1"/>
  <c r="C52" i="138"/>
  <c r="D45" i="138"/>
  <c r="F73" i="138"/>
  <c r="F83" i="138" s="1"/>
  <c r="F101" i="138" s="1"/>
  <c r="D13" i="138"/>
  <c r="L34" i="97"/>
  <c r="N34" i="97"/>
  <c r="O34" i="97"/>
  <c r="D87" i="138" l="1"/>
  <c r="C87" i="138" s="1"/>
  <c r="L29" i="97"/>
  <c r="N29" i="97"/>
  <c r="E45" i="138"/>
  <c r="C45" i="138" s="1"/>
  <c r="G93" i="125"/>
  <c r="E73" i="138"/>
  <c r="C73" i="138" s="1"/>
  <c r="D12" i="138"/>
  <c r="C13" i="138"/>
  <c r="D84" i="138"/>
  <c r="C84" i="138" s="1"/>
  <c r="O85" i="97"/>
  <c r="O80" i="97"/>
  <c r="O84" i="97"/>
  <c r="O95" i="97"/>
  <c r="N72" i="97"/>
  <c r="O33" i="97"/>
  <c r="O31" i="97"/>
  <c r="O30" i="97"/>
  <c r="J202" i="125"/>
  <c r="O151" i="97"/>
  <c r="E151" i="97"/>
  <c r="E83" i="138" l="1"/>
  <c r="E101" i="138" s="1"/>
  <c r="H202" i="125"/>
  <c r="J151" i="97"/>
  <c r="D11" i="138"/>
  <c r="C12" i="138"/>
  <c r="G164" i="125"/>
  <c r="G166" i="125"/>
  <c r="I202" i="125" l="1"/>
  <c r="G202" i="125" s="1"/>
  <c r="P151" i="97"/>
  <c r="D83" i="138"/>
  <c r="C11" i="138"/>
  <c r="D101" i="138" l="1"/>
  <c r="C101" i="138" s="1"/>
  <c r="C83" i="138"/>
  <c r="E109" i="97" l="1"/>
  <c r="O109" i="97"/>
  <c r="E113" i="97"/>
  <c r="O113" i="97"/>
  <c r="E114" i="97"/>
  <c r="O114" i="97"/>
  <c r="J190" i="125"/>
  <c r="J189" i="125"/>
  <c r="N137" i="97"/>
  <c r="M137" i="97"/>
  <c r="L137" i="97"/>
  <c r="K137" i="97"/>
  <c r="R137" i="97" s="1"/>
  <c r="I137" i="97"/>
  <c r="G137" i="97"/>
  <c r="F137" i="97"/>
  <c r="O140" i="97"/>
  <c r="E140" i="97"/>
  <c r="O139" i="97"/>
  <c r="E139" i="97"/>
  <c r="J120" i="125"/>
  <c r="O86" i="97"/>
  <c r="O83" i="97"/>
  <c r="O82" i="97"/>
  <c r="O81" i="97"/>
  <c r="H85" i="97"/>
  <c r="H84" i="97"/>
  <c r="H83" i="97"/>
  <c r="H82" i="97"/>
  <c r="H80" i="97"/>
  <c r="J187" i="125" l="1"/>
  <c r="J139" i="97"/>
  <c r="J114" i="97"/>
  <c r="J109" i="97"/>
  <c r="H190" i="125"/>
  <c r="J140" i="97"/>
  <c r="J113" i="97"/>
  <c r="H189" i="125"/>
  <c r="J138" i="125"/>
  <c r="J100" i="125"/>
  <c r="H102" i="125"/>
  <c r="H101" i="125"/>
  <c r="P109" i="97" l="1"/>
  <c r="P114" i="97"/>
  <c r="P139" i="97"/>
  <c r="H187" i="125"/>
  <c r="P140" i="97"/>
  <c r="P113" i="97"/>
  <c r="I190" i="125"/>
  <c r="G190" i="125" s="1"/>
  <c r="I189" i="125"/>
  <c r="G101" i="125"/>
  <c r="I187" i="125" l="1"/>
  <c r="G189" i="125"/>
  <c r="H91" i="97"/>
  <c r="H90" i="97"/>
  <c r="H89" i="97" l="1"/>
  <c r="G122" i="125" l="1"/>
  <c r="H95" i="125" l="1"/>
  <c r="N41" i="97" l="1"/>
  <c r="M41" i="97"/>
  <c r="L41" i="97"/>
  <c r="G81" i="125"/>
  <c r="K41" i="97" l="1"/>
  <c r="M193" i="125"/>
  <c r="H156" i="97" l="1"/>
  <c r="H149" i="97"/>
  <c r="H138" i="97"/>
  <c r="G188" i="125"/>
  <c r="O138" i="97"/>
  <c r="E138" i="97"/>
  <c r="H134" i="97"/>
  <c r="H124" i="97"/>
  <c r="H18" i="97"/>
  <c r="H17" i="97" l="1"/>
  <c r="H133" i="97"/>
  <c r="H137" i="97"/>
  <c r="E137" i="97"/>
  <c r="K187" i="125" s="1"/>
  <c r="G187" i="125"/>
  <c r="G186" i="125" s="1"/>
  <c r="J138" i="97"/>
  <c r="O137" i="97"/>
  <c r="I186" i="125"/>
  <c r="J186" i="125"/>
  <c r="H186" i="125"/>
  <c r="P138" i="97" l="1"/>
  <c r="E167" i="97"/>
  <c r="J46" i="125"/>
  <c r="G47" i="125"/>
  <c r="J43" i="125"/>
  <c r="J41" i="125"/>
  <c r="J39" i="125"/>
  <c r="G42" i="125"/>
  <c r="Q167" i="97" l="1"/>
  <c r="D31" i="108"/>
  <c r="O48" i="97" l="1"/>
  <c r="O47" i="97"/>
  <c r="O44" i="97"/>
  <c r="E125" i="97" l="1"/>
  <c r="O118" i="97" l="1"/>
  <c r="L142" i="97" l="1"/>
  <c r="M142" i="97"/>
  <c r="N142" i="97"/>
  <c r="G142" i="97"/>
  <c r="H142" i="97"/>
  <c r="I142" i="97"/>
  <c r="M197" i="125" l="1"/>
  <c r="N88" i="97" l="1"/>
  <c r="L88" i="97"/>
  <c r="H88" i="97"/>
  <c r="I88" i="97"/>
  <c r="H192" i="125"/>
  <c r="K88" i="97" l="1"/>
  <c r="R88" i="97" s="1"/>
  <c r="G194" i="125"/>
  <c r="M88" i="97"/>
  <c r="G198" i="125" l="1"/>
  <c r="G197" i="125"/>
  <c r="I192" i="125"/>
  <c r="E53" i="97"/>
  <c r="F142" i="97" l="1"/>
  <c r="J192" i="125"/>
  <c r="K142" i="97"/>
  <c r="R142" i="97" s="1"/>
  <c r="O53" i="97"/>
  <c r="J53" i="97" l="1"/>
  <c r="I75" i="125" l="1"/>
  <c r="P53" i="97"/>
  <c r="G75" i="125" l="1"/>
  <c r="G17" i="125"/>
  <c r="O18" i="97"/>
  <c r="N79" i="97" l="1"/>
  <c r="M79" i="97"/>
  <c r="L79" i="97"/>
  <c r="I79" i="97"/>
  <c r="G79" i="97"/>
  <c r="F79" i="97" l="1"/>
  <c r="H79" i="97"/>
  <c r="K79" i="97"/>
  <c r="R79" i="97" s="1"/>
  <c r="N103" i="97" l="1"/>
  <c r="M103" i="97"/>
  <c r="L103" i="97"/>
  <c r="I103" i="97"/>
  <c r="H162" i="125" l="1"/>
  <c r="H103" i="97"/>
  <c r="J162" i="125"/>
  <c r="O125" i="97" l="1"/>
  <c r="E126" i="97"/>
  <c r="E131" i="97"/>
  <c r="L123" i="97"/>
  <c r="M123" i="97"/>
  <c r="N123" i="97"/>
  <c r="G123" i="97"/>
  <c r="H123" i="97"/>
  <c r="I123" i="97"/>
  <c r="E124" i="97"/>
  <c r="J177" i="125" l="1"/>
  <c r="H177" i="125"/>
  <c r="O126" i="97"/>
  <c r="I162" i="125"/>
  <c r="G162" i="125" s="1"/>
  <c r="H182" i="125"/>
  <c r="O131" i="97"/>
  <c r="J182" i="125"/>
  <c r="K123" i="97"/>
  <c r="R123" i="97" s="1"/>
  <c r="J126" i="97" l="1"/>
  <c r="J131" i="97"/>
  <c r="J146" i="125"/>
  <c r="E105" i="97"/>
  <c r="O105" i="97"/>
  <c r="P131" i="97" l="1"/>
  <c r="I177" i="125"/>
  <c r="G177" i="125" s="1"/>
  <c r="P126" i="97"/>
  <c r="J105" i="97"/>
  <c r="F123" i="97"/>
  <c r="H146" i="125"/>
  <c r="I182" i="125"/>
  <c r="G182" i="125" s="1"/>
  <c r="P105" i="97" l="1"/>
  <c r="I146" i="125"/>
  <c r="J176" i="125"/>
  <c r="J125" i="97"/>
  <c r="G146" i="125" l="1"/>
  <c r="I176" i="125"/>
  <c r="H176" i="125"/>
  <c r="P125" i="97"/>
  <c r="O153" i="97"/>
  <c r="O57" i="97"/>
  <c r="G176" i="125" l="1"/>
  <c r="J49" i="125" l="1"/>
  <c r="J48" i="125"/>
  <c r="E39" i="97"/>
  <c r="O38" i="97"/>
  <c r="O37" i="97"/>
  <c r="E38" i="97"/>
  <c r="E37" i="97"/>
  <c r="H46" i="125" l="1"/>
  <c r="J38" i="97"/>
  <c r="H48" i="125"/>
  <c r="H49" i="125"/>
  <c r="P38" i="97" l="1"/>
  <c r="I48" i="125"/>
  <c r="G48" i="125" s="1"/>
  <c r="O164" i="97" l="1"/>
  <c r="O163" i="97"/>
  <c r="O162" i="97"/>
  <c r="O161" i="97"/>
  <c r="O158" i="97"/>
  <c r="O157" i="97"/>
  <c r="O156" i="97"/>
  <c r="O149" i="97"/>
  <c r="O146" i="97"/>
  <c r="O145" i="97"/>
  <c r="O144" i="97"/>
  <c r="O143" i="97"/>
  <c r="O134" i="97"/>
  <c r="O130" i="97"/>
  <c r="O129" i="97"/>
  <c r="O127" i="97"/>
  <c r="O124" i="97"/>
  <c r="O112" i="97"/>
  <c r="O111" i="97"/>
  <c r="O110" i="97"/>
  <c r="O108" i="97"/>
  <c r="O107" i="97"/>
  <c r="O106" i="97"/>
  <c r="O104" i="97"/>
  <c r="O101" i="97"/>
  <c r="O99" i="97"/>
  <c r="O97" i="97"/>
  <c r="O96" i="97"/>
  <c r="O94" i="97"/>
  <c r="O93" i="97"/>
  <c r="O92" i="97"/>
  <c r="O91" i="97"/>
  <c r="O90" i="97"/>
  <c r="O89" i="97"/>
  <c r="O76" i="97"/>
  <c r="O75" i="97"/>
  <c r="O74" i="97"/>
  <c r="O73" i="97"/>
  <c r="O71" i="97"/>
  <c r="O70" i="97"/>
  <c r="O69" i="97"/>
  <c r="O67" i="97"/>
  <c r="O66" i="97"/>
  <c r="O62" i="97"/>
  <c r="O61" i="97"/>
  <c r="O60" i="97"/>
  <c r="O59" i="97"/>
  <c r="O58" i="97"/>
  <c r="O52" i="97"/>
  <c r="O51" i="97"/>
  <c r="O49" i="97"/>
  <c r="O46" i="97"/>
  <c r="O43" i="97"/>
  <c r="O39" i="97"/>
  <c r="O36" i="97"/>
  <c r="O35" i="97"/>
  <c r="O32" i="97"/>
  <c r="O26" i="97"/>
  <c r="O25" i="97"/>
  <c r="O21" i="97"/>
  <c r="O20" i="97"/>
  <c r="O19" i="97"/>
  <c r="J97" i="125"/>
  <c r="J173" i="125"/>
  <c r="O88" i="97" l="1"/>
  <c r="J88" i="97" s="1"/>
  <c r="O29" i="97"/>
  <c r="O133" i="97"/>
  <c r="O132" i="97" s="1"/>
  <c r="O42" i="97"/>
  <c r="O17" i="97"/>
  <c r="O142" i="97"/>
  <c r="O141" i="97" s="1"/>
  <c r="O136" i="97" s="1"/>
  <c r="O79" i="97"/>
  <c r="O78" i="97" s="1"/>
  <c r="J34" i="97"/>
  <c r="G103" i="97"/>
  <c r="O123" i="97"/>
  <c r="O122" i="97" s="1"/>
  <c r="O160" i="97"/>
  <c r="O159" i="97" s="1"/>
  <c r="O155" i="97"/>
  <c r="O154" i="97" s="1"/>
  <c r="O148" i="97"/>
  <c r="O87" i="97" l="1"/>
  <c r="I43" i="125"/>
  <c r="O147" i="97"/>
  <c r="O16" i="97"/>
  <c r="G40" i="125" l="1"/>
  <c r="G37" i="125"/>
  <c r="I78" i="97" l="1"/>
  <c r="E156" i="97"/>
  <c r="G28" i="97"/>
  <c r="F16" i="97"/>
  <c r="H16" i="97"/>
  <c r="J209" i="125" l="1"/>
  <c r="J208" i="125"/>
  <c r="J206" i="125" l="1"/>
  <c r="K160" i="97"/>
  <c r="K159" i="97" l="1"/>
  <c r="G135" i="107"/>
  <c r="F134" i="108"/>
  <c r="G134" i="107"/>
  <c r="F133" i="108"/>
  <c r="G132" i="107"/>
  <c r="F131" i="108"/>
  <c r="F132" i="108"/>
  <c r="G133" i="107"/>
  <c r="G130" i="107"/>
  <c r="F129" i="108"/>
  <c r="G131" i="107"/>
  <c r="F130" i="108"/>
  <c r="G128" i="107"/>
  <c r="F127" i="108"/>
  <c r="G127" i="107"/>
  <c r="F126" i="108"/>
  <c r="G126" i="107"/>
  <c r="F125" i="108"/>
  <c r="G125" i="107"/>
  <c r="F124" i="108"/>
  <c r="G124" i="107"/>
  <c r="F123" i="108"/>
  <c r="G123" i="107"/>
  <c r="F122" i="108"/>
  <c r="G122" i="107"/>
  <c r="F121" i="108"/>
  <c r="G121" i="107"/>
  <c r="F120" i="108"/>
  <c r="G120" i="107"/>
  <c r="F119" i="108"/>
  <c r="G119" i="107"/>
  <c r="F118" i="108"/>
  <c r="G118" i="107"/>
  <c r="F117" i="108"/>
  <c r="G116" i="107"/>
  <c r="F115" i="108"/>
  <c r="G76" i="107"/>
  <c r="G74" i="107"/>
  <c r="G73" i="107"/>
  <c r="G72" i="107"/>
  <c r="G71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5" i="107"/>
  <c r="G54" i="107"/>
  <c r="G53" i="107"/>
  <c r="G52" i="107"/>
  <c r="G51" i="107"/>
  <c r="G49" i="107"/>
  <c r="G27" i="107"/>
  <c r="G26" i="107"/>
  <c r="G25" i="107"/>
  <c r="G24" i="107"/>
  <c r="G23" i="107"/>
  <c r="G15" i="107"/>
  <c r="O15" i="107" s="1"/>
  <c r="G143" i="107"/>
  <c r="F142" i="108"/>
  <c r="K162" i="107"/>
  <c r="J161" i="108"/>
  <c r="C36" i="127" l="1"/>
  <c r="C34" i="127"/>
  <c r="C33" i="127"/>
  <c r="C32" i="127"/>
  <c r="C17" i="127"/>
  <c r="C16" i="127"/>
  <c r="C15" i="127"/>
  <c r="F14" i="127"/>
  <c r="E14" i="127"/>
  <c r="D14" i="127"/>
  <c r="C14" i="127" l="1"/>
  <c r="J205" i="125" l="1"/>
  <c r="J93" i="97"/>
  <c r="J39" i="97"/>
  <c r="J82" i="97"/>
  <c r="J86" i="97"/>
  <c r="J130" i="97"/>
  <c r="J164" i="97"/>
  <c r="J163" i="97"/>
  <c r="J158" i="97"/>
  <c r="J157" i="97"/>
  <c r="J153" i="97"/>
  <c r="J150" i="97"/>
  <c r="J144" i="97"/>
  <c r="J143" i="97"/>
  <c r="J129" i="97"/>
  <c r="J91" i="97"/>
  <c r="J95" i="97"/>
  <c r="J101" i="97"/>
  <c r="J104" i="97"/>
  <c r="J108" i="97"/>
  <c r="J112" i="97"/>
  <c r="J115" i="97"/>
  <c r="J83" i="97"/>
  <c r="J76" i="97"/>
  <c r="J75" i="97"/>
  <c r="J71" i="97"/>
  <c r="J57" i="97"/>
  <c r="J22" i="97"/>
  <c r="J21" i="97"/>
  <c r="I23" i="125" l="1"/>
  <c r="L23" i="125" s="1"/>
  <c r="I105" i="125"/>
  <c r="L105" i="125" s="1"/>
  <c r="I112" i="125"/>
  <c r="I128" i="125"/>
  <c r="I114" i="125"/>
  <c r="I158" i="125"/>
  <c r="I133" i="125"/>
  <c r="I142" i="125"/>
  <c r="L193" i="125"/>
  <c r="I120" i="125"/>
  <c r="I173" i="125"/>
  <c r="I49" i="125"/>
  <c r="I97" i="125"/>
  <c r="J59" i="97"/>
  <c r="J67" i="97"/>
  <c r="J90" i="97"/>
  <c r="J81" i="97"/>
  <c r="J111" i="97"/>
  <c r="J162" i="97"/>
  <c r="J156" i="97"/>
  <c r="J118" i="97"/>
  <c r="J43" i="97"/>
  <c r="J35" i="97"/>
  <c r="J25" i="97"/>
  <c r="J19" i="97"/>
  <c r="J46" i="97"/>
  <c r="J62" i="97"/>
  <c r="J58" i="97"/>
  <c r="J73" i="97"/>
  <c r="J69" i="97"/>
  <c r="J66" i="97"/>
  <c r="J97" i="97"/>
  <c r="J84" i="97"/>
  <c r="J80" i="97"/>
  <c r="J124" i="97"/>
  <c r="J110" i="97"/>
  <c r="J106" i="97"/>
  <c r="J161" i="97"/>
  <c r="J145" i="97"/>
  <c r="J134" i="97"/>
  <c r="J36" i="97"/>
  <c r="J20" i="97"/>
  <c r="J51" i="97"/>
  <c r="J70" i="97"/>
  <c r="J99" i="97"/>
  <c r="J85" i="97"/>
  <c r="J107" i="97"/>
  <c r="J146" i="97"/>
  <c r="J18" i="97"/>
  <c r="J61" i="97"/>
  <c r="J96" i="97"/>
  <c r="J92" i="97"/>
  <c r="J89" i="97"/>
  <c r="J44" i="97"/>
  <c r="J26" i="97"/>
  <c r="J48" i="97"/>
  <c r="J74" i="97"/>
  <c r="J94" i="97"/>
  <c r="J127" i="97"/>
  <c r="I209" i="125"/>
  <c r="J37" i="97"/>
  <c r="J32" i="97"/>
  <c r="J52" i="97"/>
  <c r="J49" i="97"/>
  <c r="J60" i="97"/>
  <c r="J149" i="97"/>
  <c r="I208" i="125"/>
  <c r="J204" i="125"/>
  <c r="J201" i="125"/>
  <c r="H204" i="125"/>
  <c r="L17" i="125" l="1"/>
  <c r="I170" i="125"/>
  <c r="I126" i="125"/>
  <c r="I53" i="125"/>
  <c r="I109" i="125"/>
  <c r="I58" i="125"/>
  <c r="I155" i="125"/>
  <c r="I27" i="125"/>
  <c r="L27" i="125" s="1"/>
  <c r="I90" i="125"/>
  <c r="I116" i="125"/>
  <c r="I206" i="125"/>
  <c r="I205" i="125" s="1"/>
  <c r="I100" i="125"/>
  <c r="I39" i="125"/>
  <c r="I46" i="125"/>
  <c r="I21" i="125"/>
  <c r="I138" i="125"/>
  <c r="L197" i="125"/>
  <c r="J200" i="125"/>
  <c r="J199" i="125" s="1"/>
  <c r="O117" i="97" l="1"/>
  <c r="F141" i="97"/>
  <c r="F136" i="97" s="1"/>
  <c r="G141" i="97"/>
  <c r="G136" i="97" s="1"/>
  <c r="H141" i="97"/>
  <c r="H136" i="97" s="1"/>
  <c r="I141" i="97"/>
  <c r="I136" i="97" s="1"/>
  <c r="K141" i="97"/>
  <c r="L141" i="97"/>
  <c r="M141" i="97"/>
  <c r="M136" i="97" s="1"/>
  <c r="N141" i="97"/>
  <c r="N136" i="97" s="1"/>
  <c r="H191" i="125"/>
  <c r="I191" i="125"/>
  <c r="J191" i="125"/>
  <c r="M196" i="125"/>
  <c r="M194" i="125"/>
  <c r="L194" i="125"/>
  <c r="G195" i="125"/>
  <c r="G196" i="125"/>
  <c r="G193" i="125"/>
  <c r="L196" i="125"/>
  <c r="F102" i="97"/>
  <c r="H102" i="97"/>
  <c r="I102" i="97"/>
  <c r="L102" i="97"/>
  <c r="M102" i="97"/>
  <c r="N102" i="97"/>
  <c r="E118" i="97"/>
  <c r="E76" i="97"/>
  <c r="I26" i="125"/>
  <c r="I15" i="125" s="1"/>
  <c r="I14" i="125" s="1"/>
  <c r="J26" i="125"/>
  <c r="M26" i="125" s="1"/>
  <c r="G22" i="125"/>
  <c r="J21" i="125"/>
  <c r="I16" i="97"/>
  <c r="K16" i="97"/>
  <c r="L16" i="97"/>
  <c r="M16" i="97"/>
  <c r="N16" i="97"/>
  <c r="L21" i="125"/>
  <c r="E71" i="97"/>
  <c r="E149" i="97"/>
  <c r="E104" i="97"/>
  <c r="E161" i="97"/>
  <c r="E134" i="97"/>
  <c r="J157" i="125"/>
  <c r="J161" i="125"/>
  <c r="J153" i="125"/>
  <c r="J154" i="125"/>
  <c r="J152" i="125"/>
  <c r="J147" i="125"/>
  <c r="E133" i="97" l="1"/>
  <c r="H170" i="125"/>
  <c r="G170" i="125" s="1"/>
  <c r="H105" i="125"/>
  <c r="K105" i="125" s="1"/>
  <c r="M21" i="125"/>
  <c r="J15" i="125"/>
  <c r="K136" i="97"/>
  <c r="M187" i="125" s="1"/>
  <c r="J137" i="97"/>
  <c r="J136" i="97" s="1"/>
  <c r="L187" i="125" s="1"/>
  <c r="L136" i="97"/>
  <c r="G192" i="125"/>
  <c r="G191" i="125" s="1"/>
  <c r="H97" i="125"/>
  <c r="G97" i="125" s="1"/>
  <c r="G16" i="125"/>
  <c r="J142" i="97"/>
  <c r="J141" i="97" s="1"/>
  <c r="J17" i="97"/>
  <c r="J16" i="97" s="1"/>
  <c r="M191" i="125"/>
  <c r="P118" i="97"/>
  <c r="P76" i="97"/>
  <c r="L26" i="125"/>
  <c r="P161" i="97"/>
  <c r="P71" i="97"/>
  <c r="P149" i="97"/>
  <c r="P104" i="97"/>
  <c r="P134" i="97"/>
  <c r="P156" i="97"/>
  <c r="P124" i="97"/>
  <c r="L14" i="125" l="1"/>
  <c r="G105" i="125"/>
  <c r="J14" i="125"/>
  <c r="M14" i="125" s="1"/>
  <c r="J117" i="97"/>
  <c r="Q76" i="97"/>
  <c r="Q118" i="97"/>
  <c r="I168" i="125" l="1"/>
  <c r="J163" i="125"/>
  <c r="J144" i="125" s="1"/>
  <c r="O72" i="97"/>
  <c r="J42" i="97" l="1"/>
  <c r="J143" i="125"/>
  <c r="E43" i="97"/>
  <c r="E57" i="97"/>
  <c r="O41" i="97" l="1"/>
  <c r="J72" i="97"/>
  <c r="J47" i="97"/>
  <c r="P43" i="97"/>
  <c r="P57" i="97"/>
  <c r="I61" i="125" l="1"/>
  <c r="I98" i="125"/>
  <c r="J64" i="125"/>
  <c r="G66" i="125"/>
  <c r="E75" i="97"/>
  <c r="J45" i="125"/>
  <c r="J44" i="125"/>
  <c r="L28" i="97"/>
  <c r="F122" i="97"/>
  <c r="G122" i="97"/>
  <c r="H122" i="97"/>
  <c r="I122" i="97"/>
  <c r="K122" i="97"/>
  <c r="L122" i="97"/>
  <c r="M122" i="97"/>
  <c r="N122" i="97"/>
  <c r="M28" i="97" l="1"/>
  <c r="N28" i="97"/>
  <c r="I28" i="97"/>
  <c r="G88" i="97"/>
  <c r="G49" i="125"/>
  <c r="J35" i="125"/>
  <c r="J34" i="125" s="1"/>
  <c r="J123" i="97"/>
  <c r="J122" i="97" s="1"/>
  <c r="P39" i="97"/>
  <c r="I44" i="125"/>
  <c r="I45" i="125"/>
  <c r="J73" i="125"/>
  <c r="J71" i="125"/>
  <c r="J67" i="125"/>
  <c r="J118" i="125"/>
  <c r="G119" i="125"/>
  <c r="F41" i="97"/>
  <c r="G41" i="97"/>
  <c r="H41" i="97"/>
  <c r="I41" i="97"/>
  <c r="I64" i="125"/>
  <c r="I67" i="125"/>
  <c r="I71" i="125"/>
  <c r="I73" i="125"/>
  <c r="I52" i="125" l="1"/>
  <c r="J52" i="125"/>
  <c r="J51" i="125" s="1"/>
  <c r="H28" i="97"/>
  <c r="F28" i="97"/>
  <c r="J29" i="97"/>
  <c r="J28" i="97" s="1"/>
  <c r="J33" i="97"/>
  <c r="J30" i="97"/>
  <c r="J31" i="97"/>
  <c r="K28" i="97"/>
  <c r="F160" i="97"/>
  <c r="F159" i="97" s="1"/>
  <c r="G160" i="97"/>
  <c r="G159" i="97" s="1"/>
  <c r="H160" i="97"/>
  <c r="H159" i="97" s="1"/>
  <c r="I160" i="97"/>
  <c r="I159" i="97" s="1"/>
  <c r="L160" i="97"/>
  <c r="L159" i="97" s="1"/>
  <c r="M160" i="97"/>
  <c r="M159" i="97" s="1"/>
  <c r="N160" i="97"/>
  <c r="N159" i="97" s="1"/>
  <c r="I36" i="125" l="1"/>
  <c r="I41" i="125"/>
  <c r="J33" i="125"/>
  <c r="M33" i="125" s="1"/>
  <c r="O28" i="97"/>
  <c r="I51" i="125"/>
  <c r="J41" i="97"/>
  <c r="I35" i="125"/>
  <c r="J160" i="97"/>
  <c r="J159" i="97" s="1"/>
  <c r="M51" i="125"/>
  <c r="I34" i="125" l="1"/>
  <c r="F155" i="97"/>
  <c r="F154" i="97" s="1"/>
  <c r="G155" i="97"/>
  <c r="G154" i="97" s="1"/>
  <c r="H155" i="97"/>
  <c r="H154" i="97" s="1"/>
  <c r="I155" i="97"/>
  <c r="I154" i="97" s="1"/>
  <c r="K155" i="97"/>
  <c r="R155" i="97" s="1"/>
  <c r="L155" i="97"/>
  <c r="L154" i="97" s="1"/>
  <c r="M155" i="97"/>
  <c r="M154" i="97" s="1"/>
  <c r="N155" i="97"/>
  <c r="N154" i="97" s="1"/>
  <c r="E158" i="97"/>
  <c r="E157" i="97"/>
  <c r="F148" i="97"/>
  <c r="F147" i="97" s="1"/>
  <c r="G148" i="97"/>
  <c r="G147" i="97" s="1"/>
  <c r="H148" i="97"/>
  <c r="H147" i="97" s="1"/>
  <c r="I148" i="97"/>
  <c r="I147" i="97" s="1"/>
  <c r="K148" i="97"/>
  <c r="L148" i="97"/>
  <c r="L147" i="97" s="1"/>
  <c r="M148" i="97"/>
  <c r="M147" i="97" s="1"/>
  <c r="N148" i="97"/>
  <c r="N147" i="97" s="1"/>
  <c r="I201" i="125"/>
  <c r="E150" i="97"/>
  <c r="F132" i="97"/>
  <c r="G132" i="97"/>
  <c r="H132" i="97"/>
  <c r="I132" i="97"/>
  <c r="L132" i="97"/>
  <c r="M132" i="97"/>
  <c r="N132" i="97"/>
  <c r="I33" i="125" l="1"/>
  <c r="L33" i="125" s="1"/>
  <c r="K147" i="97"/>
  <c r="M199" i="125"/>
  <c r="K154" i="97"/>
  <c r="M205" i="125"/>
  <c r="K132" i="97"/>
  <c r="H208" i="125"/>
  <c r="H209" i="125"/>
  <c r="G209" i="125" s="1"/>
  <c r="J148" i="97"/>
  <c r="J133" i="97"/>
  <c r="J155" i="97"/>
  <c r="P153" i="97"/>
  <c r="I204" i="125"/>
  <c r="G204" i="125" s="1"/>
  <c r="E148" i="97"/>
  <c r="E147" i="97" s="1"/>
  <c r="H201" i="125"/>
  <c r="H200" i="125" s="1"/>
  <c r="E155" i="97"/>
  <c r="E154" i="97" s="1"/>
  <c r="P150" i="97"/>
  <c r="P158" i="97"/>
  <c r="P157" i="97"/>
  <c r="H206" i="125" l="1"/>
  <c r="H205" i="125" s="1"/>
  <c r="K205" i="125" s="1"/>
  <c r="J154" i="97"/>
  <c r="L205" i="125"/>
  <c r="J132" i="97"/>
  <c r="I200" i="125"/>
  <c r="I199" i="125" s="1"/>
  <c r="L199" i="125" s="1"/>
  <c r="E132" i="97"/>
  <c r="J147" i="97"/>
  <c r="G22" i="153" s="1"/>
  <c r="G208" i="125"/>
  <c r="G206" i="125" s="1"/>
  <c r="H199" i="125"/>
  <c r="K199" i="125" s="1"/>
  <c r="G201" i="125"/>
  <c r="E111" i="97"/>
  <c r="I157" i="125"/>
  <c r="I152" i="125"/>
  <c r="I153" i="125"/>
  <c r="I154" i="125"/>
  <c r="I161" i="125"/>
  <c r="I163" i="125"/>
  <c r="G102" i="97"/>
  <c r="E117" i="97"/>
  <c r="E116" i="97"/>
  <c r="E115" i="97"/>
  <c r="E112" i="97"/>
  <c r="E110" i="97"/>
  <c r="E108" i="97"/>
  <c r="E107" i="97"/>
  <c r="E106" i="97"/>
  <c r="H158" i="125" l="1"/>
  <c r="G158" i="125" s="1"/>
  <c r="H155" i="125"/>
  <c r="G155" i="125" s="1"/>
  <c r="E103" i="97"/>
  <c r="H173" i="125"/>
  <c r="G173" i="125" s="1"/>
  <c r="G200" i="125"/>
  <c r="G199" i="125" s="1"/>
  <c r="O116" i="97"/>
  <c r="K103" i="97"/>
  <c r="R103" i="97" s="1"/>
  <c r="H152" i="125"/>
  <c r="G152" i="125" s="1"/>
  <c r="H153" i="125"/>
  <c r="G153" i="125" s="1"/>
  <c r="H161" i="125"/>
  <c r="G161" i="125" s="1"/>
  <c r="H168" i="125"/>
  <c r="G168" i="125" s="1"/>
  <c r="H157" i="125"/>
  <c r="G157" i="125" s="1"/>
  <c r="H154" i="125"/>
  <c r="G154" i="125" s="1"/>
  <c r="H163" i="125"/>
  <c r="G163" i="125" s="1"/>
  <c r="I147" i="125"/>
  <c r="I144" i="125" s="1"/>
  <c r="H147" i="125"/>
  <c r="P117" i="97"/>
  <c r="P108" i="97"/>
  <c r="P107" i="97"/>
  <c r="P112" i="97"/>
  <c r="P111" i="97"/>
  <c r="P115" i="97"/>
  <c r="P106" i="97"/>
  <c r="P110" i="97"/>
  <c r="H144" i="125" l="1"/>
  <c r="H143" i="125" s="1"/>
  <c r="M143" i="125"/>
  <c r="E102" i="97"/>
  <c r="O103" i="97"/>
  <c r="I143" i="125"/>
  <c r="J116" i="97"/>
  <c r="K102" i="97"/>
  <c r="G147" i="125"/>
  <c r="G144" i="125" s="1"/>
  <c r="J103" i="125"/>
  <c r="J140" i="125"/>
  <c r="I140" i="125"/>
  <c r="H140" i="125"/>
  <c r="J136" i="125"/>
  <c r="J135" i="125"/>
  <c r="J132" i="125"/>
  <c r="J131" i="125"/>
  <c r="J130" i="125"/>
  <c r="J125" i="125"/>
  <c r="I130" i="125"/>
  <c r="I131" i="125"/>
  <c r="I132" i="125"/>
  <c r="I135" i="125"/>
  <c r="I136" i="125"/>
  <c r="I125" i="125"/>
  <c r="G87" i="97"/>
  <c r="H87" i="97"/>
  <c r="I87" i="97"/>
  <c r="K87" i="97"/>
  <c r="L87" i="97"/>
  <c r="M87" i="97"/>
  <c r="N87" i="97"/>
  <c r="J104" i="125"/>
  <c r="H104" i="125"/>
  <c r="J94" i="125"/>
  <c r="I94" i="125"/>
  <c r="G95" i="125"/>
  <c r="J92" i="125"/>
  <c r="I92" i="125"/>
  <c r="J82" i="125"/>
  <c r="J83" i="125"/>
  <c r="I83" i="125"/>
  <c r="J85" i="125"/>
  <c r="I85" i="125"/>
  <c r="J84" i="125"/>
  <c r="I84" i="125"/>
  <c r="J86" i="125"/>
  <c r="I86" i="125"/>
  <c r="I96" i="125"/>
  <c r="J96" i="125"/>
  <c r="G102" i="125"/>
  <c r="J89" i="125"/>
  <c r="I82" i="125"/>
  <c r="I103" i="125"/>
  <c r="I104" i="125"/>
  <c r="I89" i="125"/>
  <c r="K12" i="107"/>
  <c r="L13" i="107"/>
  <c r="L12" i="107" s="1"/>
  <c r="J13" i="107"/>
  <c r="J12" i="107" s="1"/>
  <c r="G13" i="107"/>
  <c r="G12" i="107" s="1"/>
  <c r="H13" i="107"/>
  <c r="H12" i="107" s="1"/>
  <c r="F13" i="107"/>
  <c r="O14" i="107"/>
  <c r="O13" i="107" s="1"/>
  <c r="O12" i="107" s="1"/>
  <c r="N14" i="107"/>
  <c r="M14" i="107"/>
  <c r="I14" i="107"/>
  <c r="I13" i="107" s="1"/>
  <c r="G121" i="125"/>
  <c r="J111" i="125"/>
  <c r="K78" i="97"/>
  <c r="L78" i="97"/>
  <c r="M78" i="97"/>
  <c r="N78" i="97"/>
  <c r="I111" i="125"/>
  <c r="I118" i="125"/>
  <c r="G78" i="97"/>
  <c r="H78" i="97"/>
  <c r="K143" i="125" l="1"/>
  <c r="I80" i="125"/>
  <c r="J80" i="125"/>
  <c r="J79" i="125" s="1"/>
  <c r="I124" i="125"/>
  <c r="J124" i="125"/>
  <c r="O102" i="97"/>
  <c r="J103" i="97"/>
  <c r="L143" i="125" s="1"/>
  <c r="P116" i="97"/>
  <c r="I108" i="125"/>
  <c r="I107" i="125" s="1"/>
  <c r="J108" i="125"/>
  <c r="J107" i="125" s="1"/>
  <c r="M107" i="125" s="1"/>
  <c r="G143" i="125"/>
  <c r="E79" i="97"/>
  <c r="E78" i="97" s="1"/>
  <c r="F78" i="97"/>
  <c r="J87" i="97"/>
  <c r="J79" i="97"/>
  <c r="J78" i="97" s="1"/>
  <c r="I12" i="107"/>
  <c r="Q14" i="107"/>
  <c r="P75" i="97"/>
  <c r="G140" i="125"/>
  <c r="G104" i="125"/>
  <c r="I181" i="125"/>
  <c r="I180" i="125"/>
  <c r="I178" i="125"/>
  <c r="I175" i="125" l="1"/>
  <c r="L175" i="125" s="1"/>
  <c r="J123" i="125"/>
  <c r="M123" i="125" s="1"/>
  <c r="I123" i="125"/>
  <c r="L123" i="125" s="1"/>
  <c r="P103" i="97"/>
  <c r="Q103" i="97" s="1"/>
  <c r="J102" i="97"/>
  <c r="P79" i="97"/>
  <c r="G178" i="125"/>
  <c r="J180" i="125"/>
  <c r="G180" i="125"/>
  <c r="J181" i="125"/>
  <c r="G181" i="125"/>
  <c r="L107" i="125"/>
  <c r="J178" i="125"/>
  <c r="G175" i="125" l="1"/>
  <c r="G174" i="125" s="1"/>
  <c r="J175" i="125"/>
  <c r="J210" i="125" s="1"/>
  <c r="P102" i="97"/>
  <c r="I174" i="125"/>
  <c r="M175" i="125" l="1"/>
  <c r="J174" i="125"/>
  <c r="F88" i="97" l="1"/>
  <c r="F87" i="97" l="1"/>
  <c r="E74" i="97"/>
  <c r="H103" i="125" l="1"/>
  <c r="G103" i="125" s="1"/>
  <c r="P74" i="97" l="1"/>
  <c r="E91" i="97" l="1"/>
  <c r="H128" i="125" l="1"/>
  <c r="G128" i="125" s="1"/>
  <c r="P91" i="97"/>
  <c r="E69" i="97" l="1"/>
  <c r="H94" i="125" l="1"/>
  <c r="G94" i="125" s="1"/>
  <c r="E101" i="97" l="1"/>
  <c r="H142" i="125" l="1"/>
  <c r="G142" i="125" s="1"/>
  <c r="G139" i="125"/>
  <c r="P101" i="97"/>
  <c r="E86" i="97" l="1"/>
  <c r="E85" i="97"/>
  <c r="E73" i="97"/>
  <c r="E72" i="97"/>
  <c r="E52" i="97"/>
  <c r="E36" i="97"/>
  <c r="H98" i="125" l="1"/>
  <c r="G98" i="125" s="1"/>
  <c r="H100" i="125"/>
  <c r="H120" i="125"/>
  <c r="G120" i="125" s="1"/>
  <c r="H73" i="125"/>
  <c r="G73" i="125" s="1"/>
  <c r="H45" i="125"/>
  <c r="G45" i="125" s="1"/>
  <c r="G46" i="125"/>
  <c r="H118" i="125"/>
  <c r="G118" i="125" s="1"/>
  <c r="E51" i="97"/>
  <c r="P37" i="97"/>
  <c r="G100" i="125" l="1"/>
  <c r="H71" i="125"/>
  <c r="G71" i="125" s="1"/>
  <c r="P85" i="97"/>
  <c r="P72" i="97"/>
  <c r="P86" i="97"/>
  <c r="P52" i="97"/>
  <c r="P51" i="97"/>
  <c r="P73" i="97"/>
  <c r="P36" i="97"/>
  <c r="E130" i="97" l="1"/>
  <c r="E129" i="97"/>
  <c r="E127" i="97"/>
  <c r="H178" i="125" l="1"/>
  <c r="H180" i="125"/>
  <c r="H181" i="125"/>
  <c r="E123" i="97"/>
  <c r="P129" i="97"/>
  <c r="P130" i="97"/>
  <c r="P127" i="97"/>
  <c r="E21" i="97"/>
  <c r="H175" i="125" l="1"/>
  <c r="P123" i="97"/>
  <c r="Q123" i="97" s="1"/>
  <c r="E122" i="97"/>
  <c r="P21" i="97"/>
  <c r="H174" i="125" l="1"/>
  <c r="K175" i="125"/>
  <c r="E144" i="97"/>
  <c r="E145" i="97"/>
  <c r="E146" i="97"/>
  <c r="K194" i="125" l="1"/>
  <c r="K197" i="125"/>
  <c r="K196" i="125"/>
  <c r="P146" i="97"/>
  <c r="P145" i="97"/>
  <c r="P144" i="97"/>
  <c r="E22" i="97" l="1"/>
  <c r="H23" i="125" l="1"/>
  <c r="K23" i="125" s="1"/>
  <c r="P22" i="97"/>
  <c r="G23" i="125" l="1"/>
  <c r="Q22" i="97"/>
  <c r="F31" i="108" s="1"/>
  <c r="E49" i="97"/>
  <c r="H67" i="125" l="1"/>
  <c r="G67" i="125" s="1"/>
  <c r="P49" i="97"/>
  <c r="E162" i="97" l="1"/>
  <c r="E143" i="97" l="1"/>
  <c r="E142" i="97" l="1"/>
  <c r="K193" i="125"/>
  <c r="P143" i="97"/>
  <c r="K191" i="125" l="1"/>
  <c r="E141" i="97"/>
  <c r="N15" i="107"/>
  <c r="P137" i="97" l="1"/>
  <c r="Q137" i="97" s="1"/>
  <c r="E136" i="97"/>
  <c r="E48" i="97"/>
  <c r="H64" i="125" l="1"/>
  <c r="G64" i="125" s="1"/>
  <c r="P136" i="97"/>
  <c r="N17" i="107"/>
  <c r="F12" i="107"/>
  <c r="F17" i="107" s="1"/>
  <c r="E83" i="97" l="1"/>
  <c r="D17" i="108"/>
  <c r="D20" i="108" s="1"/>
  <c r="E31" i="108" s="1"/>
  <c r="L17" i="107"/>
  <c r="J17" i="107"/>
  <c r="H17" i="107"/>
  <c r="E19" i="97"/>
  <c r="E18" i="97"/>
  <c r="E30" i="97"/>
  <c r="E35" i="97"/>
  <c r="E32" i="97"/>
  <c r="E33" i="97"/>
  <c r="E70" i="97"/>
  <c r="E47" i="97"/>
  <c r="E46" i="97"/>
  <c r="E44" i="97"/>
  <c r="E97" i="97"/>
  <c r="E96" i="97"/>
  <c r="E94" i="97"/>
  <c r="E93" i="97"/>
  <c r="E92" i="97"/>
  <c r="E90" i="97"/>
  <c r="E26" i="97"/>
  <c r="E34" i="97"/>
  <c r="E62" i="97"/>
  <c r="E60" i="97"/>
  <c r="E59" i="97"/>
  <c r="E58" i="97"/>
  <c r="E89" i="97"/>
  <c r="E66" i="97"/>
  <c r="K17" i="125" l="1"/>
  <c r="H27" i="125"/>
  <c r="K27" i="125" s="1"/>
  <c r="H53" i="125"/>
  <c r="H90" i="125"/>
  <c r="G90" i="125" s="1"/>
  <c r="H126" i="125"/>
  <c r="G126" i="125" s="1"/>
  <c r="H61" i="125"/>
  <c r="G61" i="125" s="1"/>
  <c r="H114" i="125"/>
  <c r="G114" i="125" s="1"/>
  <c r="H58" i="125"/>
  <c r="G58" i="125" s="1"/>
  <c r="E42" i="97"/>
  <c r="P42" i="97" s="1"/>
  <c r="H43" i="125"/>
  <c r="G43" i="125" s="1"/>
  <c r="H41" i="125"/>
  <c r="G41" i="125" s="1"/>
  <c r="H39" i="125"/>
  <c r="G39" i="125" s="1"/>
  <c r="H136" i="125"/>
  <c r="G136" i="125" s="1"/>
  <c r="H44" i="125"/>
  <c r="G44" i="125" s="1"/>
  <c r="H89" i="125"/>
  <c r="G89" i="125" s="1"/>
  <c r="H84" i="125"/>
  <c r="G84" i="125" s="1"/>
  <c r="H132" i="125"/>
  <c r="G132" i="125" s="1"/>
  <c r="H83" i="125"/>
  <c r="G83" i="125" s="1"/>
  <c r="H131" i="125"/>
  <c r="G131" i="125" s="1"/>
  <c r="H125" i="125"/>
  <c r="H135" i="125"/>
  <c r="G135" i="125" s="1"/>
  <c r="H82" i="125"/>
  <c r="H86" i="125"/>
  <c r="G86" i="125" s="1"/>
  <c r="H130" i="125"/>
  <c r="H96" i="125"/>
  <c r="G96" i="125" s="1"/>
  <c r="H35" i="125"/>
  <c r="E82" i="97"/>
  <c r="E164" i="97"/>
  <c r="E80" i="97"/>
  <c r="E84" i="97"/>
  <c r="M15" i="107"/>
  <c r="M13" i="107" s="1"/>
  <c r="K17" i="107"/>
  <c r="E163" i="97"/>
  <c r="E20" i="97"/>
  <c r="P26" i="97"/>
  <c r="E99" i="97"/>
  <c r="E95" i="97"/>
  <c r="E81" i="97"/>
  <c r="G16" i="97"/>
  <c r="E61" i="97"/>
  <c r="E31" i="97"/>
  <c r="E17" i="97" l="1"/>
  <c r="H52" i="125"/>
  <c r="H51" i="125" s="1"/>
  <c r="E29" i="97"/>
  <c r="H109" i="125"/>
  <c r="H112" i="125"/>
  <c r="G112" i="125" s="1"/>
  <c r="H133" i="125"/>
  <c r="H116" i="125"/>
  <c r="G116" i="125" s="1"/>
  <c r="G35" i="125"/>
  <c r="G27" i="125"/>
  <c r="H36" i="125"/>
  <c r="H34" i="125" s="1"/>
  <c r="G82" i="125"/>
  <c r="G130" i="125"/>
  <c r="G53" i="125"/>
  <c r="G52" i="125" s="1"/>
  <c r="H138" i="125"/>
  <c r="G138" i="125" s="1"/>
  <c r="E88" i="97"/>
  <c r="P41" i="97"/>
  <c r="G125" i="125"/>
  <c r="H26" i="125"/>
  <c r="H85" i="125"/>
  <c r="G85" i="125" s="1"/>
  <c r="H111" i="125"/>
  <c r="G111" i="125" s="1"/>
  <c r="H21" i="125"/>
  <c r="E41" i="97"/>
  <c r="E160" i="97"/>
  <c r="E159" i="97" s="1"/>
  <c r="Q15" i="107"/>
  <c r="Q13" i="107" s="1"/>
  <c r="Q12" i="107" s="1"/>
  <c r="R12" i="107" s="1"/>
  <c r="P18" i="97"/>
  <c r="P96" i="97"/>
  <c r="P58" i="97"/>
  <c r="E67" i="97"/>
  <c r="P164" i="97"/>
  <c r="P62" i="97"/>
  <c r="P66" i="97"/>
  <c r="P59" i="97"/>
  <c r="P60" i="97"/>
  <c r="P44" i="97"/>
  <c r="P162" i="97"/>
  <c r="P47" i="97"/>
  <c r="P83" i="97"/>
  <c r="P19" i="97"/>
  <c r="P92" i="97"/>
  <c r="P32" i="97"/>
  <c r="P90" i="97"/>
  <c r="P70" i="97"/>
  <c r="P99" i="97"/>
  <c r="P34" i="97"/>
  <c r="P33" i="97"/>
  <c r="P46" i="97"/>
  <c r="P89" i="97"/>
  <c r="P163" i="97"/>
  <c r="P97" i="97"/>
  <c r="P93" i="97"/>
  <c r="P35" i="97"/>
  <c r="P61" i="97"/>
  <c r="P30" i="97"/>
  <c r="P81" i="97"/>
  <c r="P31" i="97"/>
  <c r="G36" i="125" l="1"/>
  <c r="G34" i="125" s="1"/>
  <c r="H15" i="125"/>
  <c r="H124" i="125"/>
  <c r="H123" i="125" s="1"/>
  <c r="K123" i="125" s="1"/>
  <c r="E16" i="97"/>
  <c r="G21" i="125"/>
  <c r="G26" i="125"/>
  <c r="K26" i="125"/>
  <c r="G109" i="125"/>
  <c r="G108" i="125" s="1"/>
  <c r="G107" i="125" s="1"/>
  <c r="H108" i="125"/>
  <c r="H107" i="125" s="1"/>
  <c r="K107" i="125" s="1"/>
  <c r="H33" i="125"/>
  <c r="K33" i="125" s="1"/>
  <c r="H92" i="125"/>
  <c r="G92" i="125" s="1"/>
  <c r="G80" i="125" s="1"/>
  <c r="K21" i="125"/>
  <c r="P88" i="97"/>
  <c r="E87" i="97"/>
  <c r="G51" i="125"/>
  <c r="P29" i="97"/>
  <c r="Q29" i="97" s="1"/>
  <c r="E28" i="97"/>
  <c r="K51" i="125"/>
  <c r="P17" i="97"/>
  <c r="M12" i="107"/>
  <c r="M17" i="107" s="1"/>
  <c r="G133" i="125"/>
  <c r="G124" i="125" s="1"/>
  <c r="P20" i="97"/>
  <c r="P67" i="97"/>
  <c r="L51" i="125"/>
  <c r="P48" i="97"/>
  <c r="P80" i="97"/>
  <c r="P84" i="97"/>
  <c r="P25" i="97"/>
  <c r="P94" i="97"/>
  <c r="P95" i="97"/>
  <c r="P82" i="97"/>
  <c r="Q79" i="97" l="1"/>
  <c r="Q42" i="97"/>
  <c r="Q17" i="97"/>
  <c r="Q88" i="97"/>
  <c r="G15" i="125"/>
  <c r="H80" i="125"/>
  <c r="G33" i="125"/>
  <c r="H14" i="125"/>
  <c r="K14" i="125" s="1"/>
  <c r="G123" i="125"/>
  <c r="P78" i="97"/>
  <c r="P69" i="97"/>
  <c r="I17" i="107"/>
  <c r="G17" i="107" s="1"/>
  <c r="G14" i="125" l="1"/>
  <c r="P28" i="97"/>
  <c r="P16" i="97"/>
  <c r="P87" i="97" l="1"/>
  <c r="P160" i="97" l="1"/>
  <c r="P159" i="97" s="1"/>
  <c r="P155" i="97"/>
  <c r="P154" i="97" l="1"/>
  <c r="Q155" i="97"/>
  <c r="Q160" i="97"/>
  <c r="P148" i="97" l="1"/>
  <c r="Q148" i="97" s="1"/>
  <c r="P147" i="97" l="1"/>
  <c r="L191" i="125"/>
  <c r="P142" i="97"/>
  <c r="Q142" i="97" s="1"/>
  <c r="P141" i="97" l="1"/>
  <c r="P133" i="97"/>
  <c r="Q133" i="97" s="1"/>
  <c r="P132" i="97" l="1"/>
  <c r="P122" i="97" l="1"/>
  <c r="G205" i="125" l="1"/>
  <c r="N56" i="97" l="1"/>
  <c r="K56" i="97"/>
  <c r="R56" i="97" s="1"/>
  <c r="M56" i="97"/>
  <c r="L56" i="97"/>
  <c r="L165" i="97" s="1"/>
  <c r="M55" i="97" l="1"/>
  <c r="M165" i="97"/>
  <c r="K165" i="97"/>
  <c r="N165" i="97"/>
  <c r="K55" i="97"/>
  <c r="M79" i="125" s="1"/>
  <c r="L174" i="97"/>
  <c r="N55" i="97"/>
  <c r="O56" i="97"/>
  <c r="I56" i="97"/>
  <c r="I165" i="97" s="1"/>
  <c r="L55" i="97"/>
  <c r="L219" i="150" l="1"/>
  <c r="Q165" i="97"/>
  <c r="N174" i="97"/>
  <c r="M174" i="97"/>
  <c r="J56" i="97"/>
  <c r="J165" i="97" s="1"/>
  <c r="J174" i="97" s="1"/>
  <c r="O165" i="97"/>
  <c r="K174" i="97"/>
  <c r="I210" i="125"/>
  <c r="O55" i="97"/>
  <c r="H56" i="97"/>
  <c r="H165" i="97" s="1"/>
  <c r="I55" i="97"/>
  <c r="I174" i="97"/>
  <c r="J55" i="97" l="1"/>
  <c r="O174" i="97"/>
  <c r="I79" i="125"/>
  <c r="L79" i="125" s="1"/>
  <c r="H55" i="97"/>
  <c r="H174" i="97"/>
  <c r="G56" i="97"/>
  <c r="G165" i="97" s="1"/>
  <c r="G174" i="97" l="1"/>
  <c r="G55" i="97"/>
  <c r="F56" i="97"/>
  <c r="F55" i="97" s="1"/>
  <c r="F165" i="97" s="1"/>
  <c r="F174" i="97" l="1"/>
  <c r="H210" i="125"/>
  <c r="E56" i="97"/>
  <c r="E55" i="97" l="1"/>
  <c r="E165" i="97"/>
  <c r="P56" i="97"/>
  <c r="Q56" i="97" s="1"/>
  <c r="G210" i="125"/>
  <c r="E175" i="97" l="1"/>
  <c r="E174" i="97"/>
  <c r="E183" i="97"/>
  <c r="F175" i="97"/>
  <c r="P55" i="97"/>
  <c r="H79" i="125"/>
  <c r="K79" i="125" s="1"/>
  <c r="G79" i="125"/>
  <c r="P165" i="97" l="1"/>
  <c r="K210" i="125"/>
  <c r="P175" i="97" l="1"/>
  <c r="P174" i="97"/>
  <c r="F177" i="97"/>
</calcChain>
</file>

<file path=xl/comments1.xml><?xml version="1.0" encoding="utf-8"?>
<comments xmlns="http://schemas.openxmlformats.org/spreadsheetml/2006/main">
  <authors>
    <author>Ковтун Денис Леонідович</author>
  </authors>
  <commentList>
    <comment ref="G23" authorId="0" shapeId="0">
      <text>
        <r>
          <rPr>
            <b/>
            <sz val="9"/>
            <color indexed="81"/>
            <rFont val="Tahoma"/>
            <family val="2"/>
            <charset val="204"/>
          </rPr>
          <t>Ковтун Денис Леонідович: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05" authorId="0" shapeId="0">
      <text>
        <r>
          <rPr>
            <b/>
            <sz val="9"/>
            <color indexed="81"/>
            <rFont val="Tahoma"/>
            <family val="2"/>
            <charset val="204"/>
          </rPr>
          <t>Ковтун Денис Леонідович: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70" authorId="0" shapeId="0">
      <text>
        <r>
          <rPr>
            <b/>
            <sz val="9"/>
            <color indexed="81"/>
            <rFont val="Tahoma"/>
            <family val="2"/>
            <charset val="204"/>
          </rPr>
          <t>Ковтун Денис Леонідович: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<sst xmlns="http://schemas.openxmlformats.org/spreadsheetml/2006/main" count="3022" uniqueCount="941">
  <si>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</si>
  <si>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</si>
  <si>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Будівництво 2-ї черги водогону від с.Чернелівка Красилівського району до м.Хмельницький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</si>
  <si>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</si>
  <si>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</si>
  <si>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</si>
  <si>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</si>
  <si>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</si>
  <si>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</si>
  <si>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</si>
  <si>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Програма розвитку міста Хмельницького у сфері культури на період до 2020 року "50 кроків, що змінять місто"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</si>
  <si>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</si>
  <si>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</si>
  <si>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</si>
  <si>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</si>
  <si>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</si>
  <si>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</si>
  <si>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</si>
  <si>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</si>
  <si>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Реконструкція існуючої будівлі краєзнавчого музею під музейний комплекс історії та культури по вул.Свободи,22 в м.Хмельницькому</t>
  </si>
  <si>
    <t>1011100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</si>
  <si>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</si>
  <si>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</si>
  <si>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</si>
  <si>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</si>
  <si>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</si>
  <si>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</si>
  <si>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</si>
  <si>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житлово-комунального господарства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</si>
  <si>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</si>
  <si>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</si>
  <si>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</si>
  <si>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Управління архітектури та містобудування департаменту архітектури, містобудування та земельних ресурсів (головний розпорядник)</t>
  </si>
  <si>
    <t xml:space="preserve">Управління з питань екології та контролю за благоустроєм міста (головний розпорядник) 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</si>
  <si>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</si>
  <si>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</si>
  <si>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</si>
  <si>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</si>
  <si>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</si>
  <si>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</si>
  <si>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</si>
  <si>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</si>
  <si>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</si>
  <si>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</si>
  <si>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</si>
  <si>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</si>
  <si>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</si>
  <si>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</si>
  <si>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</si>
  <si>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Управління житлово-комунального господарства Хмельницької міської ради (відповідальний виконавець)</t>
  </si>
  <si>
    <t>Управління архітектури та містобудування департаменту архітектури, містобудування та земельних ресурсів (відповідальний виконавець)</t>
  </si>
  <si>
    <t xml:space="preserve">Управління з питань екології та контролю за благоустроєм міста (відповідальний виконавець) 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</si>
  <si>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</si>
  <si>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</si>
  <si>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</si>
  <si>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</si>
  <si>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</si>
  <si>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</si>
  <si>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</si>
  <si>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</si>
  <si>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</si>
  <si>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</si>
  <si>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</si>
  <si>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Всього, в т.ч.:</t>
  </si>
  <si>
    <t>0511</t>
  </si>
  <si>
    <t>Охорона та раціональне використання природних ресурсів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</si>
  <si>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</si>
  <si>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</si>
  <si>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</si>
  <si>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</si>
  <si>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</si>
  <si>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Розподіл</t>
  </si>
  <si>
    <t>Капітальні видатки</t>
  </si>
  <si>
    <t xml:space="preserve">Реконструкція покрівель житлових будинків </t>
  </si>
  <si>
    <t>Додаток 1</t>
  </si>
  <si>
    <t>( грн.)</t>
  </si>
  <si>
    <t>Код</t>
  </si>
  <si>
    <t>Найменування згідно
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</si>
  <si>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</si>
  <si>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</si>
  <si>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</si>
  <si>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</si>
  <si>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</si>
  <si>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</si>
  <si>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</si>
  <si>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</si>
  <si>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</si>
  <si>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 xml:space="preserve">Акцизний податок з реалізації суб"єктами господарювання роздрібної торгівлі підакцизних товарів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</si>
  <si>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</si>
  <si>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</si>
  <si>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</si>
  <si>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</si>
  <si>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</si>
  <si>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</si>
  <si>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</si>
  <si>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</si>
  <si>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</si>
  <si>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</si>
  <si>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</si>
  <si>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</si>
  <si>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</si>
  <si>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</si>
  <si>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</si>
  <si>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</si>
  <si>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 xml:space="preserve">Єдиний податок  з юридичних осіб
</t>
  </si>
  <si>
    <t>Єдиний податок  з фізичних осіб</t>
  </si>
  <si>
    <t xml:space="preserve">Екологічний податок </t>
  </si>
  <si>
    <t xml:space="preserve">Надходження  від викидів забруднюючих речовин в атмосферне повітря стаціонарними джерелами забруднення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</si>
  <si>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</si>
  <si>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</si>
  <si>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</si>
  <si>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</si>
  <si>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</si>
  <si>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 xml:space="preserve">Надходження від штрафів та фінансових санкцій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</si>
  <si>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</si>
  <si>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</si>
  <si>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</si>
  <si>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</si>
  <si>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</si>
  <si>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</si>
  <si>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</si>
  <si>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</si>
  <si>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</si>
  <si>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</si>
  <si>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</si>
  <si>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</si>
  <si>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</si>
  <si>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</si>
  <si>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</si>
  <si>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</si>
  <si>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</si>
  <si>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</si>
  <si>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r>
      <t>Інші джерела власних надходжень бюджетних установ</t>
    </r>
    <r>
      <rPr>
        <sz val="12"/>
        <rFont val="Times New Roman"/>
        <family val="1"/>
        <charset val="204"/>
      </rPr>
      <t xml:space="preserve">  </t>
    </r>
  </si>
  <si>
    <t xml:space="preserve">Благодійні внески, гранти та дарунки </t>
  </si>
  <si>
    <t xml:space="preserve"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</si>
  <si>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</si>
  <si>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</si>
  <si>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</si>
  <si>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</si>
  <si>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</si>
  <si>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</si>
  <si>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</si>
  <si>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</si>
  <si>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</si>
  <si>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</si>
  <si>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</si>
  <si>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>Додаток 2</t>
  </si>
  <si>
    <t>до рішення</t>
  </si>
  <si>
    <t>200000</t>
  </si>
  <si>
    <t>Внутрішнє фінансування</t>
  </si>
  <si>
    <t>208100</t>
  </si>
  <si>
    <t>На початок періоду</t>
  </si>
  <si>
    <t>На кінець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</si>
  <si>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</si>
  <si>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</si>
  <si>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</si>
  <si>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</si>
  <si>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</si>
  <si>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Зміни обсягів готівкових коштів на початок періоду</t>
  </si>
  <si>
    <t>Зміни обсягів готівкових коштів на кінець періоду</t>
  </si>
  <si>
    <t>Надання кредитів</t>
  </si>
  <si>
    <t>Повернення кредитів</t>
  </si>
  <si>
    <t>Кошторис доходів та видатків цільового фонду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</si>
  <si>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</si>
  <si>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</si>
  <si>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</si>
  <si>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</si>
  <si>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</si>
  <si>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</si>
  <si>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</si>
  <si>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</si>
  <si>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</si>
  <si>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</si>
  <si>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</si>
  <si>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</si>
  <si>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</si>
  <si>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</si>
  <si>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</si>
  <si>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</si>
  <si>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</si>
  <si>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</si>
  <si>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</si>
  <si>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</si>
  <si>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</si>
  <si>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 xml:space="preserve">Спрямування коштів на житлове будівництво, реконструкцію та на ремонт житла всіх форм власності, в т.ч. будинків житлово-будівельних кооперативів (ТОВ "ЖЕО"), об'є́днань співвла́сників багатокварти́рних буди́нків, Будинкоуправління №2  КЕВ м. Хмельницький та будівель і споруд  комунальної власності </t>
  </si>
  <si>
    <t>Здійснення заходів з приватизації, відчуження та передачі в оренду майна комунальної власності</t>
  </si>
  <si>
    <t>Пальне (вироблене в Україні)</t>
  </si>
  <si>
    <t>Пальне  (ввезене на митну територію  України)</t>
  </si>
  <si>
    <t xml:space="preserve">Будівництво центру поводження з тваринами  КП “Надія” по вул. Заводській, 165 в м. Хмельницькому 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</si>
  <si>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</si>
  <si>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</si>
  <si>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</si>
  <si>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</si>
  <si>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</si>
  <si>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</si>
  <si>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</si>
  <si>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</si>
  <si>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</si>
  <si>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</si>
  <si>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</si>
  <si>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</si>
  <si>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</si>
  <si>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</si>
  <si>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</si>
  <si>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</si>
  <si>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</si>
  <si>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</si>
  <si>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</si>
  <si>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</si>
  <si>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</si>
  <si>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</si>
  <si>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</si>
  <si>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</si>
  <si>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</si>
  <si>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</si>
  <si>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</si>
  <si>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</si>
  <si>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</si>
  <si>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</si>
  <si>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</si>
  <si>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</si>
  <si>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</si>
  <si>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</si>
  <si>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</si>
  <si>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</si>
  <si>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</si>
  <si>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</si>
  <si>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1100</t>
  </si>
  <si>
    <t>0960</t>
  </si>
  <si>
    <t>0829</t>
  </si>
  <si>
    <t>1113121</t>
  </si>
  <si>
    <t>3121</t>
  </si>
  <si>
    <t>1040</t>
  </si>
  <si>
    <t>Утримання та забезпечення діяльності центрів соціальних служб для сім’ї, дітей та молоді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</si>
  <si>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</si>
  <si>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</si>
  <si>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</si>
  <si>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</si>
  <si>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</si>
  <si>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</si>
  <si>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</si>
  <si>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</si>
  <si>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</si>
  <si>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</si>
  <si>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</si>
  <si>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</si>
  <si>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</si>
  <si>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</si>
  <si>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</si>
  <si>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</si>
  <si>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</si>
  <si>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</si>
  <si>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</si>
  <si>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</si>
  <si>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</si>
  <si>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</si>
  <si>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</si>
  <si>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0611110</t>
  </si>
  <si>
    <t>1110</t>
  </si>
  <si>
    <t>0930</t>
  </si>
  <si>
    <t>0611150</t>
  </si>
  <si>
    <t>1150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</si>
  <si>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</si>
  <si>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</si>
  <si>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</si>
  <si>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</si>
  <si>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</si>
  <si>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</si>
  <si>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</si>
  <si>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</si>
  <si>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</si>
  <si>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</si>
  <si>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</si>
  <si>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</si>
  <si>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</si>
  <si>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</si>
  <si>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</si>
  <si>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</si>
  <si>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</si>
  <si>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</si>
  <si>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</si>
  <si>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</si>
  <si>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</si>
  <si>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</si>
  <si>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</si>
  <si>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</si>
  <si>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</si>
  <si>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</si>
  <si>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</si>
  <si>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</si>
  <si>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</si>
  <si>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</si>
  <si>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</si>
  <si>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</si>
  <si>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</si>
  <si>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</si>
  <si>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</si>
  <si>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</si>
  <si>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</si>
  <si>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</si>
  <si>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</si>
  <si>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</si>
  <si>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1218120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</si>
  <si>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</si>
  <si>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</si>
  <si>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</si>
  <si>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</si>
  <si>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</si>
  <si>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</si>
  <si>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</si>
  <si>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</si>
  <si>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</si>
  <si>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</si>
  <si>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</si>
  <si>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</si>
  <si>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</si>
  <si>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</si>
  <si>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</si>
  <si>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</si>
  <si>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</si>
  <si>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</si>
  <si>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</si>
  <si>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</si>
  <si>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</si>
  <si>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</si>
  <si>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</si>
  <si>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</si>
  <si>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</si>
  <si>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</si>
  <si>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</si>
  <si>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</si>
  <si>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</si>
  <si>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</si>
  <si>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</si>
  <si>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</si>
  <si>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</si>
  <si>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</si>
  <si>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</si>
  <si>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</si>
  <si>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1216013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</si>
  <si>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</si>
  <si>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</si>
  <si>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</si>
  <si>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</si>
  <si>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</si>
  <si>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</si>
  <si>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</si>
  <si>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</si>
  <si>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</si>
  <si>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</si>
  <si>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</si>
  <si>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</si>
  <si>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</si>
  <si>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</si>
  <si>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</si>
  <si>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</si>
  <si>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</si>
  <si>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</si>
  <si>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</si>
  <si>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</si>
  <si>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</si>
  <si>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</si>
  <si>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1217310</t>
  </si>
  <si>
    <t>7310</t>
  </si>
  <si>
    <t>1217670</t>
  </si>
  <si>
    <t>3617130</t>
  </si>
  <si>
    <t>7130</t>
  </si>
  <si>
    <t>0421</t>
  </si>
  <si>
    <t>2818311</t>
  </si>
  <si>
    <t>8311</t>
  </si>
  <si>
    <t>2818330</t>
  </si>
  <si>
    <t>8330</t>
  </si>
  <si>
    <t>Будівництвоˈ  освітніх установ та закладів</t>
  </si>
  <si>
    <t>1517321</t>
  </si>
  <si>
    <t>7321</t>
  </si>
  <si>
    <t>1517325</t>
  </si>
  <si>
    <t>7325</t>
  </si>
  <si>
    <t>Будівництвоˈ споруд, установ та закладів фізичної культури і спорту</t>
  </si>
  <si>
    <t>1517330</t>
  </si>
  <si>
    <t>7330</t>
  </si>
  <si>
    <t>Перелік природоохоронних заходів,</t>
  </si>
  <si>
    <t>які будуть фінансуватися з міського фонду охорони</t>
  </si>
  <si>
    <t>№ п/п</t>
  </si>
  <si>
    <t>Код КПКВ</t>
  </si>
  <si>
    <t>Заходи, на які виділяються кошти</t>
  </si>
  <si>
    <t>Реконструкція прв. Перемоги з улаштуванням виїзду на вул.Свободи</t>
  </si>
  <si>
    <t>Виготовлення актів добору земельної ділянки, яка або право на яку виставляються на земельні торги</t>
  </si>
  <si>
    <t>Проведення експертної грошової оцінки земельної ділянки несільськогосподарського призначення</t>
  </si>
  <si>
    <t>0217670</t>
  </si>
  <si>
    <t>%</t>
  </si>
  <si>
    <t>0611161</t>
  </si>
  <si>
    <t>1161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</si>
  <si>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</si>
  <si>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</si>
  <si>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</si>
  <si>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</si>
  <si>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</si>
  <si>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</si>
  <si>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</si>
  <si>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</si>
  <si>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</si>
  <si>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</si>
  <si>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</si>
  <si>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</si>
  <si>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</si>
  <si>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</si>
  <si>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</si>
  <si>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</si>
  <si>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</si>
  <si>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</si>
  <si>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</si>
  <si>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0611162</t>
  </si>
  <si>
    <t>1162</t>
  </si>
  <si>
    <t>7691</t>
  </si>
  <si>
    <t>0217691</t>
  </si>
  <si>
    <t>Витрати, пов’язані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</si>
  <si>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</si>
  <si>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</si>
  <si>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</si>
  <si>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</si>
  <si>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здоров"я за рахунок відповідної дотації з державного бюджету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</si>
  <si>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</si>
  <si>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</si>
  <si>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</si>
  <si>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</si>
  <si>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</si>
  <si>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</si>
  <si>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Проведення навчально-тренувальних зборів і змагань та заходів зі спорту осіб з інвалідністю</t>
  </si>
  <si>
    <t>2717370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</si>
  <si>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</si>
  <si>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</si>
  <si>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</si>
  <si>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</si>
  <si>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</si>
  <si>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</si>
  <si>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>Управління земельних ресурсів та земельної реформи департаменту архітектури, містобудування та земельних ресурсів (головний розпорядник)</t>
  </si>
  <si>
    <t>Управління земельних ресурсів та земельної реформи департаменту архітектури, містобудування та земельних ресурсів (відповідальний розпорядник)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</si>
  <si>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</si>
  <si>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</si>
  <si>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</si>
  <si>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</si>
  <si>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</si>
  <si>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Середньострокові зобов"язання </t>
  </si>
  <si>
    <t xml:space="preserve">Погашення </t>
  </si>
  <si>
    <t>Зовнішні зобов"язання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</si>
  <si>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</si>
  <si>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</si>
  <si>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</si>
  <si>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</si>
  <si>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</si>
  <si>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</si>
  <si>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</si>
  <si>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</si>
  <si>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</si>
  <si>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Будівництво дошкільного навчального закладу на 120 місць по провулку Шостаковича, 28-А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</si>
  <si>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Кам"янецькій, 38 в м. Хмельницькому</t>
  </si>
  <si>
    <t>Будівництво навчально-виховного комплексу на вул. Залізняка, 32 в м.Хмельницькому</t>
  </si>
  <si>
    <t>Будівництво самопливного і напірного колекторів та каналізаційної насосної станції продуктивністю 1500 куб.м/добу на житловому масиві "Лезнево 1,2" в м.Хмельницькому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</si>
  <si>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</si>
  <si>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</si>
  <si>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</si>
  <si>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(відповідальний виконавець)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</si>
  <si>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</si>
  <si>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Я.Гальчевського, 34 в м.Хмельницькому 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</si>
  <si>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</si>
  <si>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</si>
  <si>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1119770</t>
  </si>
  <si>
    <t>1216012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</si>
  <si>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</si>
  <si>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</si>
  <si>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</si>
  <si>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</si>
  <si>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</si>
  <si>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</si>
  <si>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</si>
  <si>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</si>
  <si>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</si>
  <si>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</si>
  <si>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</si>
  <si>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</si>
  <si>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</si>
  <si>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</si>
  <si>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</si>
  <si>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</si>
  <si>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</si>
  <si>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</si>
  <si>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</si>
  <si>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</si>
  <si>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</si>
  <si>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</si>
  <si>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</si>
  <si>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</si>
  <si>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</si>
  <si>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</si>
  <si>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</si>
  <si>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</si>
  <si>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</si>
  <si>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</si>
  <si>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Додаток №8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</si>
  <si>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</si>
  <si>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2017 - 2020 роки</t>
  </si>
  <si>
    <t>Рішення 6-ї сесії Хмельницької міської ради від 18.05.2016 року №16</t>
  </si>
  <si>
    <t>Рішення 19-ї сесії Хмельницької міської ради від 21.02.2001 року №6</t>
  </si>
  <si>
    <t>0817323</t>
  </si>
  <si>
    <t>7323</t>
  </si>
  <si>
    <t>Будівництвоˈ установ та закладів соціальної сфери</t>
  </si>
  <si>
    <t>Будівництво приміщення відділення тимчасового цілодобового перебування Хмельницького міського територіального центру соціального обслуговування (надання соціальних послуг) по вул. Перемоги, 7-А в м.Хмельницькому</t>
  </si>
  <si>
    <t>Рішення 11-ї сесії Хмельницької міської ради від 25.01.2017 року №20</t>
  </si>
  <si>
    <t>Рішення 20-ї сесії Хмельницької міської ради від 31.01.2018 року №82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</si>
  <si>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</si>
  <si>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</si>
  <si>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</si>
  <si>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</si>
  <si>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</si>
  <si>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</si>
  <si>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</si>
  <si>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</si>
  <si>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</si>
  <si>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Програма утримання та розвитку житлово-комунального господарства та благоустрою м.Хмельницького на 2017-2020 роки</t>
  </si>
  <si>
    <t>Рішення позачергової 10-ї сесії Хмельницької міської ради від 29.12.2016 року № 6</t>
  </si>
  <si>
    <t>Рішення 4-ї сесії Хмельницької міськї ради від 27.01.2016 року №57</t>
  </si>
  <si>
    <t>1510160</t>
  </si>
  <si>
    <t>3610160</t>
  </si>
  <si>
    <t>1610160</t>
  </si>
  <si>
    <t>3710160</t>
  </si>
  <si>
    <t>1210160</t>
  </si>
  <si>
    <t>2810160</t>
  </si>
  <si>
    <t>Рішення 48-ї сесії Хмельницької міської ради від 04.03.2015 року №80</t>
  </si>
  <si>
    <t>Програма впровадження електронного урядування у Хмельницькій  міській раді на 2015-2020 роки (із змінами і доповненнями)</t>
  </si>
  <si>
    <t>Рішення 19-ї сесії Хмельницької міської ради від 27.12.2017 року №48</t>
  </si>
  <si>
    <t>0817691</t>
  </si>
  <si>
    <t>1217691</t>
  </si>
  <si>
    <t>Рішення 21-ї сесії Хмельницької міської ради від 11.04.2018 року №11</t>
  </si>
  <si>
    <t>Програма міжнародного співробітництва та промоції міста Хмельницького на 2016-2020 роки (із змінами і доповненнями)</t>
  </si>
  <si>
    <t>Рішення 7-ї сесії Хмельницької міської ради від 20.07.2016 року №76</t>
  </si>
  <si>
    <t>Програма розвитку освіти міста Хмельницького на 2017-2021 роки (із змінами і доповненнями)</t>
  </si>
  <si>
    <t>Комплексна програма «Піклування» в м.Хмельницькому на 2017 - 2021 роки (із змінами і доповненнями)</t>
  </si>
  <si>
    <t>Програма охорони довкілля міста Хмельницького на 2016-2020 роки</t>
  </si>
  <si>
    <t>у тому числі  бюджет розвитку</t>
  </si>
  <si>
    <t>Офіційні трансферти</t>
  </si>
  <si>
    <t>0813210</t>
  </si>
  <si>
    <t>2006 - 2020 роки</t>
  </si>
  <si>
    <t>2018 - 2020 роки</t>
  </si>
  <si>
    <t>2013 - 2020 роки</t>
  </si>
  <si>
    <t>Рішення 22-ї сесії Хмельницької міської ради від 04.0.2018 року №5</t>
  </si>
  <si>
    <t>Рішення 27-ї сесії Хмельницької міської ради від 14.12.2018 року №16</t>
  </si>
  <si>
    <t>Рішення 27-ї сесії Хмельницької міської ради від 14.12.2018 року №13</t>
  </si>
  <si>
    <t>0611170</t>
  </si>
  <si>
    <t>1170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</si>
  <si>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</si>
  <si>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</si>
  <si>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</si>
  <si>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</si>
  <si>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1510180</t>
  </si>
  <si>
    <t>2019 - 2020 роки</t>
  </si>
  <si>
    <t>1210180</t>
  </si>
  <si>
    <t>1515043</t>
  </si>
  <si>
    <t>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</si>
  <si>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5043</t>
  </si>
  <si>
    <t xml:space="preserve">   Будівництво Льодового палацу  по вул.Прибузькій, 7/3А в м.Хмельницькому, в т.ч. виготовлення проектно-кошторисної документації</t>
  </si>
  <si>
    <t xml:space="preserve">Будівництво парку "Молодіжний" на вул. С. Бандери в м. Хмельницькому </t>
  </si>
  <si>
    <t>1217370</t>
  </si>
  <si>
    <t xml:space="preserve">Управління з питань екології та контролю за благоустроєм міста Хмельницької міської ради (головний розпорядник) </t>
  </si>
  <si>
    <t xml:space="preserve">Управління з питань екології та контролю за благоустроєм міста Хмельницької міської ради (відповідальний виконавець) </t>
  </si>
  <si>
    <t>Управління земельних ресурсів та земельної реформи Департаменту архітектури, містобудування та земельних ресурсів Хмельницької міської ради (головний розпорядник)</t>
  </si>
  <si>
    <t>Управління земельних ресурсів та земельної реформи Департаменту архітектури, містобудування та земельних ресурсів Хмельницької міської ради (відповідальний розпорядник)</t>
  </si>
  <si>
    <t>0717670</t>
  </si>
  <si>
    <t>Програма «Здоров’я хмельничан» на 2017-2021 роки (із змінами і доповненнями)</t>
  </si>
  <si>
    <t>Рішення 6-ї сесії Хмельницької міської ради від 18.05.2016 року №7</t>
  </si>
  <si>
    <t>Програма 
"Громадські ініціативи" м.Хмельницького на 2016 - 2020 роки (із змінами і доповненнями)</t>
  </si>
  <si>
    <t>Завершення будівництва нежитлового приміщення з влаштуванням зовнішніх мереж та футбольного і тренажерного майданчиків на водно-спортивній станції по вул.Нижній Береговій, 2/1 в м.Хмельницькому</t>
  </si>
  <si>
    <t>2018 - 2022 роки</t>
  </si>
  <si>
    <t>Внески до статутного капіталу Міського комунального підприємства по утриманню нежитлових приміщень (реконструкція нежитлового приміщення за адресою вул.Героїв Майдану, 12 у м.Хмельницький)</t>
  </si>
  <si>
    <t>Програма співфінансування робіт з ремонту багатоквартирних житлових будинків м. Хмельницького на 2019-2023 роки</t>
  </si>
  <si>
    <t>Програма популяризації та ефективного впрвадження програм у сфері житлово-комунального господарства на 2019-2023 роки</t>
  </si>
  <si>
    <t>1517370</t>
  </si>
  <si>
    <t>Програма соціальної підтримки учасників АТО, учасників Революції Гідності, бійців-добровольців АТО у м. Хмельницькому та членів їх сімей на 2018 - 2020 рр. (із змінами і доповненнями)</t>
  </si>
  <si>
    <t>Програма соціальної підтримки учасників АТО, учасників Революції Гідності, бійців-добровольців АТО у м. Хмельницькому та членів їх сімей на 2018 - 2020 рр.  (із змінами і доповненнями)</t>
  </si>
  <si>
    <t>Програма відшкодування частини відсоткових ставок та кредитів, отриманних ОСББ, ЖБК на впровадження відновлювальних джерел енергії та заходів з енергозбереження, термомодернізації багатоквартирних житлових будинків у м.Хмельницькому на 2019-2022 роки</t>
  </si>
  <si>
    <t xml:space="preserve">Субвенції з державного бюджету місцевим бюджетам </t>
  </si>
  <si>
    <t>Доходи  бюджету м. Хмельницького на 2020 рік</t>
  </si>
  <si>
    <t>Рішення позачергової 10-ї сесії Хмельницької міської ради від 24.10.2016 року № 6</t>
  </si>
  <si>
    <t>на 2020 рік</t>
  </si>
  <si>
    <t>Залишок коштів на 01.01.2020 року</t>
  </si>
  <si>
    <t>видатків бюджету міста Хмельницького на 2020 рік</t>
  </si>
  <si>
    <t>Кредитування бюджету міста Хмельницького у 2020 році</t>
  </si>
  <si>
    <t>Розподіл витрат бюджету міста Хмельницького на реалізацію місцевих/регіональних програм у 2020 році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</si>
  <si>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рамок, грамот, подяк, кубків і т.д)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</si>
  <si>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</si>
  <si>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</si>
  <si>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Будівництво спортивного майданчика з штучним покриттям по пров. Володимирському, 12 в м.Хмельницькому</t>
  </si>
  <si>
    <t>Попередження виникнення надзвичайних ситуацій та забезпечення  пожежної і техногенної безпеки об'єктів усіх форм власності,розвитку інфраструктури пожежно-рятувальних підрозділів у м.Хмельницькому на 2016-2020 роки (із змінами і доповненнями)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</si>
  <si>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</si>
  <si>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</si>
  <si>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</si>
  <si>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</si>
  <si>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</si>
  <si>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</si>
  <si>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</si>
  <si>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фінансової підтримки комунальної установи Хмельницької міської ради "Агенція розвитку Хмельницького" на 2019-2021 роки  (із змінами і доповненнями)</t>
  </si>
  <si>
    <t>Програма розвитку підприємництва міста Хмельницького на 2019-2021 роки  (із змінами і доповненнями)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</si>
  <si>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</si>
  <si>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</si>
  <si>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</si>
  <si>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</si>
  <si>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Резервний фонд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</si>
  <si>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</si>
  <si>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</si>
  <si>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</si>
  <si>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</si>
  <si>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Програма підтримки книговидання місцевих авторів та популяризації української книги у м.Хмельницькому на 2018-2020 роки "Читай українською"</t>
  </si>
  <si>
    <t>Рішення 19-ї сесії Хмельницької міської ради від 27.12.2017 року №25</t>
  </si>
  <si>
    <t>Програма зайнятості населення м.Хмельницького на 2018 - 2020 роки</t>
  </si>
  <si>
    <t>Реставрація фасадів приміщення виконавчого комітету міської ради (заміна вікон) по вул. Гагаріна, 3 (в тому числі виготовлення проектно-кошторисної документації)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</si>
  <si>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</si>
  <si>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</si>
  <si>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</si>
  <si>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Повернення пільгових довгострокових кредитів, наданих молодим сім'ям та одиноким молодим громадянам на будівництво/придбання житла</t>
  </si>
  <si>
    <t>8821</t>
  </si>
  <si>
    <t>8822</t>
  </si>
  <si>
    <t>Програма 
підтримки сім'ї на 2016 - 2020 роки  (із змінами і доповненнями)</t>
  </si>
  <si>
    <t>Рішення 5-ї сесії Хмельницької міської ради від 16.03.2016 року №10</t>
  </si>
  <si>
    <t xml:space="preserve">Реконструкція тенісних кортів ДЮСШ №3 по вул. Прибузька, 3/1 в м.Хмельницькому (в тому числі виготовлення проектно-кошторисної документації) </t>
  </si>
  <si>
    <t>Придбання та впровадження установок, обладнання та машин для збору, транспортування, перероблення, знешкодження та складування побутових відходів</t>
  </si>
  <si>
    <t>Здійснення заходів із землеустрою</t>
  </si>
  <si>
    <t>Будівництво Палацу спорту по вул.Прибузькій, 5/1а у м.Хмельницькому</t>
  </si>
  <si>
    <t xml:space="preserve">Реконструкція з надбудовою приміщень навчально-виховного комплексу №10 по вул. Водопровідній, 9А в м.Хмельницькому </t>
  </si>
  <si>
    <t>2012 - 2021 роки</t>
  </si>
  <si>
    <t xml:space="preserve"> Реконструкція з добудовою приміщень Хмельницького ліцею №17 під спортивну залу на вул.Героїв Майдану, 5 в м.Хмельницькому</t>
  </si>
  <si>
    <t xml:space="preserve">Будівництво спеціалізованого залу боксу на території спортивного комплексу "Поділля" ДЮСШ №1 по вул.Проскурівській, 81  в м.Хмельницькому </t>
  </si>
  <si>
    <t>2018 - 2023 роки</t>
  </si>
  <si>
    <t>Будівництвоˈ інших об'єктів комунальної власності</t>
  </si>
  <si>
    <t xml:space="preserve">Реконструкція мереж водопроводу та каналізації в мікрорайоні "Лезнево" м.Хмельницький 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</si>
  <si>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</si>
  <si>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</si>
  <si>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</si>
  <si>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</si>
  <si>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</si>
  <si>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</si>
  <si>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Програма розвитку та вдосконалення міського пасажирського транспорту міста Хмельницького на 2019 - 2023 роки</t>
  </si>
  <si>
    <t>Будівництвоˈ об'єктів житлово-комунального господарства</t>
  </si>
  <si>
    <t>Внески до статутного капіталу ХКП "Спецкомунтранс" (Реконструкція полігону твердих побутових відходів за адресою м. Хмельницький, вул. Проспект Миру, 7.  Містобудівний розрахунок)</t>
  </si>
  <si>
    <t>2019 -2020 роки</t>
  </si>
  <si>
    <t>Внески до статутного капіталу МКП "Хмельницькводоканал" (Реконструкція ділянки водопроводу по вул. Львівське шосе, 14 в м. Хмельницький)</t>
  </si>
  <si>
    <t>2020 рік</t>
  </si>
  <si>
    <t>Внески до статутного капіталу КП "Чайка" (Реконструкція газових мереж з встановленням вузла обліку газу)</t>
  </si>
  <si>
    <t>2019 -2021 роки</t>
  </si>
  <si>
    <t>0512</t>
  </si>
  <si>
    <r>
      <t>Будівництво</t>
    </r>
    <r>
      <rPr>
        <b/>
        <vertAlign val="superscript"/>
        <sz val="36"/>
        <color rgb="FF000000"/>
        <rFont val="Times New Roman"/>
        <family val="1"/>
        <charset val="204"/>
      </rPr>
      <t>1</t>
    </r>
    <r>
      <rPr>
        <sz val="36"/>
        <color rgb="FF000000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</si>
  <si>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36"/>
        <color rgb="FF000000"/>
        <rFont val="Times New Roman"/>
        <family val="1"/>
        <charset val="204"/>
      </rPr>
      <t>1</t>
    </r>
    <r>
      <rPr>
        <sz val="36"/>
        <color rgb="FF000000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</si>
  <si>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color rgb="FF000000"/>
        <rFont val="Times New Roman"/>
        <family val="1"/>
        <charset val="204"/>
      </rPr>
      <t>1</t>
    </r>
    <r>
      <rPr>
        <sz val="36"/>
        <color rgb="FF000000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</si>
  <si>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color rgb="FF000000"/>
        <rFont val="Times New Roman"/>
        <family val="1"/>
        <charset val="204"/>
      </rPr>
      <t>1</t>
    </r>
    <r>
      <rPr>
        <sz val="36"/>
        <color rgb="FF000000"/>
        <rFont val="Times New Roman"/>
        <family val="1"/>
        <charset val="204"/>
      </rPr>
      <t>  установ та закладів соціальної сфери</t>
    </r>
  </si>
  <si>
    <r>
      <t>Будівництво</t>
    </r>
    <r>
      <rPr>
        <b/>
        <vertAlign val="superscript"/>
        <sz val="36"/>
        <color rgb="FF000000"/>
        <rFont val="Times New Roman"/>
        <family val="1"/>
        <charset val="204"/>
      </rPr>
      <t>1</t>
    </r>
    <r>
      <rPr>
        <sz val="36"/>
        <color rgb="FF000000"/>
        <rFont val="Times New Roman"/>
        <family val="1"/>
        <charset val="204"/>
      </rPr>
      <t>  об'єктів житлово-комунального господарства</t>
    </r>
  </si>
  <si>
    <t>2818312</t>
  </si>
  <si>
    <t>8312</t>
  </si>
  <si>
    <t>Утилізація відходів</t>
  </si>
  <si>
    <t>Інша діяльність у сфері екології та охорони природних ресурсів</t>
  </si>
  <si>
    <t>навколишнього природного середовища у 2020 році</t>
  </si>
  <si>
    <t xml:space="preserve">Фінансування бюджету міста Хмельницького на 2020 рік </t>
  </si>
  <si>
    <t>Рішення 29-ї сесії міської ради від 13.02.2019 р. № 31</t>
  </si>
  <si>
    <t>Програма сприяння впровадження відновлювальних джерел енергії власниками приватних житлових будинків м. Хмельницького на 2018-2029 роки</t>
  </si>
  <si>
    <t>Рішення 19-ї сесії Хмельницької міської ради від 27.12.2017 р. № 39</t>
  </si>
  <si>
    <t>Внески до статутного капіталу ХКП "Спецкомунтранс" (Виконання робіт по реконструкції полігону твердих побутових відходів з метою запобігання виникнення надзвичайної екологісної ситуації  за адресою м.Хмельницький, вул.Проспект Миру,7)</t>
  </si>
  <si>
    <t>Внески до статутного капіталу КП "Чайка" (Капітальні видатки)</t>
  </si>
  <si>
    <t>Будівництво на кладовищі надгробків на могилах загиблих учасників АТО/ООС</t>
  </si>
  <si>
    <t xml:space="preserve">     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відвага""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</si>
  <si>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  загиблих та померлих учасників ООС; Почесних громадян міста; інших осіб.</t>
  </si>
  <si>
    <t>Рішення 5-ї сесії Хмельницької міської ради від 16.03.2016 року №31  (із змінами і доповненнями)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</si>
  <si>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</si>
  <si>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</si>
  <si>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</si>
  <si>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</si>
  <si>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</si>
  <si>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</si>
  <si>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здоров’я  за рахунок коштів медичної субвенції</t>
  </si>
  <si>
    <t>Інші субвенції з місцевого бюджету, в тому числі:</t>
  </si>
  <si>
    <t xml:space="preserve">  - на пільгове медичне обслуговування громадян, які постраждали внаслідок Чорнобильської катастрофи  </t>
  </si>
  <si>
    <t xml:space="preserve">   - на компенсаційні виплати інвалідам на бензин, ремонт, техобслуговування автотранспорту та транспортне обслуговування </t>
  </si>
  <si>
    <t xml:space="preserve">  - на поховання учасників бойових дій та інвалідів війни 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</si>
  <si>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</si>
  <si>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</si>
  <si>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</si>
  <si>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</si>
  <si>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</si>
  <si>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</si>
  <si>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</si>
  <si>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</si>
  <si>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</si>
  <si>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</si>
  <si>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</si>
  <si>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</si>
  <si>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Внески до статутного капіталу МКП "Хмельницькводоканал" (Будівництво зовнішніх мереж водопостачання вул. Ващука, вул. Ігнатенка, вул. Правика, вул. Кібенка, пров. Правика, пров. Ващука, пров. Кібенка житлового масиву "Прометей" в м.Хмельницький)</t>
  </si>
  <si>
    <t>2020 - 2021 роки</t>
  </si>
  <si>
    <t>Код бюджету - 22201000000</t>
  </si>
  <si>
    <t xml:space="preserve">Цільові фонди </t>
  </si>
  <si>
    <t>Усього доходів (без врахування міжбюджетних трансфертів)</t>
  </si>
  <si>
    <t>Разом  доходів</t>
  </si>
  <si>
    <t>Рішення 30-ї сесії міської ради від 17.04.2019 року № 49</t>
  </si>
  <si>
    <t>Рішення 30-ї сесії міської ради від 17.04.2019 року № 48</t>
  </si>
  <si>
    <t>Рішення 30-ї сесії Хмельницької  міської  ради   від 17.04.2019 року     № 48</t>
  </si>
  <si>
    <t>Програма поводження з побутовими відходами у м.Хмельницьницькому - Програма "Розумне довкілля Хмельницький" на 2020 р.</t>
  </si>
  <si>
    <t>Рішення позачергової 36-ї сесії Хмельницької міської ради від 24.12.2019 року №10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</si>
  <si>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</si>
  <si>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</si>
  <si>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</si>
  <si>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</si>
  <si>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бюджету міста Хмельницького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</si>
  <si>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Додаток 3</t>
  </si>
  <si>
    <t>Додаток 6</t>
  </si>
  <si>
    <t>Додаток  7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</si>
  <si>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</si>
  <si>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</si>
  <si>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</si>
  <si>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</si>
  <si>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</si>
  <si>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</si>
  <si>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</si>
  <si>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</si>
  <si>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</si>
  <si>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>Підготовка кадрів закладами професійної (професійно-технічної) освіти та іншими закладами освіти</t>
  </si>
  <si>
    <t>Методичне забезпечення діяльності закладів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</si>
  <si>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</si>
  <si>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</si>
  <si>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</si>
  <si>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</si>
  <si>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</si>
  <si>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</si>
  <si>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</si>
  <si>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</si>
  <si>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</si>
  <si>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</si>
  <si>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</si>
  <si>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</si>
  <si>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Програма висвітлення діяльності Хмельницької міської ради та її виконавчих органів на 2020 рік</t>
  </si>
  <si>
    <t>Програма економічного і соціального розвитку міста Хмельницького на 2020 рік</t>
  </si>
  <si>
    <t>Рішення 35-ї сесії Хмельницької міської ради від 11.12.2019 року №3</t>
  </si>
  <si>
    <t>Проєкт програми навчання, підготовки та підвищення кваліфікації посадових осіб місцевого самоврядування, керівних працівників підприємств, установ і організацій міста, членів виконавчого комітету та депутатів міської ради на 2020 рік</t>
  </si>
  <si>
    <t>0217693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</si>
  <si>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</si>
  <si>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</si>
  <si>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</si>
  <si>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 затвердження Комплексної програми мобілізації зусиль Хмельницької міської ради та Головного управління Державної фіскальної служби у Хмельницькій області по забезпеченню надходжень до бюджетів усіх рівнів на 2016 - 2020 роки (із змінами і доповненнями)</t>
  </si>
  <si>
    <t>Рішення 6-ї сесії Хмельницької міської ради від 18.05.2016 року №15</t>
  </si>
  <si>
    <t>Цільова програма
попередження виникнення надзвичайних ситуацій та забезпечення пожежної і техногенної безпеки об'єктів усіх форм власності, розвитку інфраструктури пожежно-рятувальних підрозділів у м. Хмельницькому на 2016 - 2020 роки (із змінами і доповненнями)</t>
  </si>
  <si>
    <t>Рішення 4-ї сесії Хмельницької міської ради від 27.01.2016 року №57</t>
  </si>
  <si>
    <t>Програма
військово-патріотичного виховання мешканців міста Хмельницького на 2016 - 2020 роки (із змінами і доповненнями)</t>
  </si>
  <si>
    <t>Рішення 9-ї сесії Хмельницької міської ради від 26.10.2016 року №4</t>
  </si>
  <si>
    <t>Рішення позачергової 36-ї сесії Хмельницької міської ради від 24.12.2019 року №5</t>
  </si>
  <si>
    <t>Рішення 9-ї сесії Хмельницької міської ради від 26.10.2016 року №7</t>
  </si>
  <si>
    <t>Комплексна програма профілактики, попередження адміністративних правопорушень та покращення забезпечення громадського правопорядку для жителів міста Хмельницького на 2016 - 2020 роки (із змінами і доповненнями)</t>
  </si>
  <si>
    <r>
      <t>Будівництво</t>
    </r>
    <r>
      <rPr>
        <b/>
        <vertAlign val="superscript"/>
        <sz val="36"/>
        <color rgb="FF000000"/>
        <rFont val="Times New Roman"/>
        <family val="1"/>
        <charset val="204"/>
      </rPr>
      <t>1</t>
    </r>
    <r>
      <rPr>
        <sz val="36"/>
        <color rgb="FF000000"/>
        <rFont val="Times New Roman"/>
        <family val="1"/>
        <charset val="204"/>
      </rPr>
      <t>  установ та закладів культури</t>
    </r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</si>
  <si>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</si>
  <si>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</si>
  <si>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</si>
  <si>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</si>
  <si>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1218110</t>
  </si>
  <si>
    <t>Реконструкція каналізаційних насосних станцій №2, №7, №12 у місті Хмельницькому</t>
  </si>
  <si>
    <t>1617350</t>
  </si>
  <si>
    <t>7350</t>
  </si>
  <si>
    <t>Розроблення схем планування та забудови територій (містобудівної документації)</t>
  </si>
  <si>
    <t>8320</t>
  </si>
  <si>
    <t>Збереження природно-заповідного фонду</t>
  </si>
  <si>
    <t>2818320</t>
  </si>
  <si>
    <t>0520</t>
  </si>
  <si>
    <t>Заходи з озеленення міста</t>
  </si>
  <si>
    <t xml:space="preserve">Придбання систем, приладів для здійснення контролю  за якістю поверхневих та підземних вод на території міста </t>
  </si>
  <si>
    <t>Біологічна меліорація водойм</t>
  </si>
  <si>
    <t>Розроблення документації із землеустрою для територій та об‘єктів природно-заповідного фонду. Винесення меж в натуру територій природно-заповідного фонду</t>
  </si>
  <si>
    <t>Встановлення (поновлення) знаків аншлагів, межових знаків на території об‘єктів природно-заповідного фонду</t>
  </si>
  <si>
    <t>0617640</t>
  </si>
  <si>
    <t>Комплексна програма реалізації молодіжної політики та розвитку фізичної культури і спорту у м.Хмельницькому на 2017 - 2021 роки (із змінами і доповненнями)</t>
  </si>
  <si>
    <t>Цільова програма
попередження виникнення надзвичайних ситуацій та забезпечення пожежної і техногенної безпеки об'єктів усіх форм власності, розвитку інфраструктури пожежно-рятувальних підрозділів у м.Хмельницькому на 2016 - 2020 роки (із змінами і доповненнями)</t>
  </si>
  <si>
    <t>Програма розвитку міського комунального підприємства "Муніципальна телерадіокомпанія "Місто"" на 2018-2020 роки (із змінами і доповненнями)</t>
  </si>
  <si>
    <t>Програма розвитку, підтримки комунальних закладів охорони здоров’я та надання медичних послуг понад обсяг, передбачений програмою державних гарантій медичного обслуговування населення міста Хмельницького на 2020 рік</t>
  </si>
  <si>
    <t>Рішення позачергової 41-ї сесії Хмельницької міської ради від 29.04.2020 року №1</t>
  </si>
  <si>
    <t>Розподіл коштів бюджету розвитку на здійснення заходів із будівництва, реконструкції і реставрації об'єктів виробничої, комунікаційної та соціальної інфраструктури за об'єктами у 2020 році</t>
  </si>
  <si>
    <t>Найменування головного розпорядника коштів бюджету міста Хмельницького/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</si>
  <si>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об’єкта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</si>
  <si>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</si>
  <si>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</si>
  <si>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</si>
  <si>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</si>
  <si>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</si>
  <si>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Придбання обладнання і предметів довгострокового користування</t>
  </si>
  <si>
    <t>Виготовлення проектно-кошторисної документації на реставрацію внутрішніх електромереж в приміщенні виконавчого комітету Хмельницької міської ради за адресою вул. Гагаріна, 3</t>
  </si>
  <si>
    <t>Капітальний ремонт підвальних приміщень з влаштуванням дренажної системи дошкільного навчального закладу № 6 "Колобок" по вул. Львівське шосе,43/2 в м.Хмельницькому</t>
  </si>
  <si>
    <t>Капітальний ремонт (зовнішнє опорядження та утеплення фасадів, заміна покрівлі) Хмельницького ДНЗ №21 "Ластівка" за адресою: вул. Сковороди, 31, м. Хмельницький</t>
  </si>
  <si>
    <t>Капітальний ремонт тепломережі Хмельницького ДНЗ №23 "Вогник"за адресою: вул. Бажана, 2, м. Хмельницький</t>
  </si>
  <si>
    <t>Капітальний ремонт огорожі Хмельницького дошкільного навчального закладу №24 "Барвінок" по вул. Купріна, 54/1 в м. Хмельницькому</t>
  </si>
  <si>
    <t>Капітальний ремонт водовідвідної системи, сходів та приямків дошкільного навчального закладу №32 "Росинка" по вул. Зарічанській, 12/1 в м. Хмельницькому</t>
  </si>
  <si>
    <t>Капітальний ремонт утеплення цоколя ДНЗ №32 "Росинка" по вул.Зарічанській, 12/1 в м.Хмельницькому</t>
  </si>
  <si>
    <t>1529950,52     ЗОШ №6</t>
  </si>
  <si>
    <t>Будівництво мережі каналізації Хмельницької середньої загальноосвітньої школи І-ІІІ ступенів №13 імені М.К.Чекмана по вул.Профспілковій, 39 в м. Хмельницькому (в тому числі виготовлення технічних умов та проектно-кошторисної документації)</t>
  </si>
  <si>
    <t>Нове будівництво мережі каналізації Хмельницької спеціалізованої загальноосвітньої школи №19 І-ІІІ ступенів імені академіка Михайла Павловського по вул. Кам'янецькій, 164 в м. Хмельницький</t>
  </si>
  <si>
    <t>Капітальний ремонт харчоблоку Хмельницької спеціалізованої загальноосвітньої школи І-ІІІ ступенів №1</t>
  </si>
  <si>
    <t>Капітальний ремонт приміщень холу Гімназії №2 м. Хмельницького по пр.Миру 84/2 в м. Хмельницькому</t>
  </si>
  <si>
    <t>Капітальний ремонт спортивного майданчика  Гімназії №2 м.Хмельницького по пр. Миру 84/2 в м.Хмельницькому</t>
  </si>
  <si>
    <t>Капітальний ремонт автоматичної  пожежної сигналізації та оповіщення про пожежу на об'єкті: Навчально-виховний комплекс №2 м. Хмельницький по вул.І.Франка, 57 в м. Хмельницький, Хмельницької області (в тому числі виготовлення проектно-кошторисної документації)</t>
  </si>
  <si>
    <t>Капітальний ремонт автоматичної  пожежної сигналізації та оповіщення про пожежу на об'єкті: Навчально-виховний комплекс №4 м. Хмельницький по вул.Перемоги, 9 в м. Хмельницький, Хмельницької області (в тому числі виготовлення проектно-кошторисної документації)</t>
  </si>
  <si>
    <t xml:space="preserve"> Капітальний ремонт пожежної сигналізації на об'єкті: Хмельницька середня загальноосвітня школа І-ІІІ ступенів №20, що знаходиться за адресою: Хмельницька область, м. Хмельницький, вул. Івана Павла ІІ, 1</t>
  </si>
  <si>
    <t>Капітальний ремонт спортивного майданчика з облаштуванням міні футбольного поля зі штучним покриттям, волейбольним та баскетбольним майданчиками, освітленням для середньої загальноосвітньої школи І-ІІІ ступенів №25 ім. Івана Огієнка по вул. Степана Бандери, 14/1 в м. Хмельницькому</t>
  </si>
  <si>
    <t>Капітальний ремонт пожежної сигналізації на об'єкті: Хмельницька середня загальноосвітня школа І-ІІІ ступенів №25 імені Івана Огієнка по вул. Степана Бандери, 14/1 в м. Хмельницькому</t>
  </si>
  <si>
    <t>Капітальний ремонт огорожі Хмельницького навчально-виховного комплексу №31 "Дошкільний навчальний заклад - загальноосвітній навчальний заклад І ступеня" по вул. Миколи Мазура, 17 в м. Хмельницькому</t>
  </si>
  <si>
    <t xml:space="preserve">Реконструкція спортивного майданчика під мультифункціональний  майданчик для занять ігровими видами спорту на території Хмельницької спеціалізованої середньої загальноосвітньої школи І-ІІІ ступенів №1 за адресою вул. Староміська, 2 в м. Хмельницькому (в тому числі виготовлення проектно-кошторисної документації) </t>
  </si>
  <si>
    <t xml:space="preserve">Реконструкція спортивного майданчика під мультифункціональний  майданчик для занять ігровими видами спорту на території навчально-виховного обєднання №5 міста Хмельницького імені Сергія Єфремова за адресою вул. Володимирська, 51 в м. Хмельницькому (в тому числі виготовлення проектно-кошторисної документації) </t>
  </si>
  <si>
    <t xml:space="preserve">Виготовлення проектно-кошторисної документації на проведення реконструкції спортивного майданчика під мультифункціональний  майданчик для занять ігровими видами спорту на території Хмельницької спеціалізованої середньої загальноосвітньої школи І-ІІІ ступенів №12  за адресою вул. Довженка, 6 </t>
  </si>
  <si>
    <t xml:space="preserve">Реконструкція спортивного майданчика під мультифункціональний  майданчик для занять ігровими видами спорту на території Хмельницького навчально-виховного комплексу №31 за адресою вул. Миколи Мазура, 17 в м. Хмельницькому (в тому числі виготовлення проектно-кошторисної документації) </t>
  </si>
  <si>
    <t>Капітальний ремонт - утеплення фасаду та сходового майданчика перед палацом творчості дітей та юнацтва по вул. Свободи, 2/1 в м.Хмельницькому (1 та 2 черга)</t>
  </si>
  <si>
    <t>2016 - 2020 роки</t>
  </si>
  <si>
    <t>Капітальний ремонт приміщень в палаці творчості дітей та юнацтва для облаштування студії робототехніки, що знаходиться за адресою: м. Хмельницький, вул. Свободи, буд. 2/1</t>
  </si>
  <si>
    <t>Виготовлення проектно-кошторисної документації на проведення капітального ремонту приміщення Хмельницького центру національно-патріотичного виховання, краєзнавства і туризму ім.Романа Шухевича, вул. Інституцька 3</t>
  </si>
  <si>
    <t>Нове будівництво діючої теплиці, як навчальної лабораторії та збірно-розбірного макету тепличного господарства "ДНЗ ВПУ №11 м.Хмельницького"</t>
  </si>
  <si>
    <t>3 184 862,00 грн - кошти ДБ</t>
  </si>
  <si>
    <t>Внески до статутного капіталу комунального підприємства "Хмельницька міська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</si>
  <si>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"Хмельницька міська лікарня" Хмельницької міської ради (Реконструкція покрівлі з влаштуванням шатрового даху корпусу №2 Хмельницької міської лікарні по пров. Проскурівський, 1 в м. Хмельницькому)</t>
  </si>
  <si>
    <t>Внески до статутного капіталу комунального підприємства "Хмельницька міська дитяча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</si>
  <si>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"Хмельницька інфекційна лікарня" Хмельницької міської ради (Капітальний ремонт покрівлі корпусу №3 комунального підприємства "Хмельницька інфекційна лікарня" за адресою: вул. Сковороди, 17 в м.Хмельницькому)</t>
  </si>
  <si>
    <t>Внески до статутного капіталу комунального підприємства "Хмельницька інфекційна лікарня" Хмельницької міської ради (Капітальний ремонт приміщень лікарні (заміна дверей і вікон на металопластикові) комунального підприємства "Хмельницька інфекційна лікарня" за адресою: вул.Сковороди, 17 в м.Хмельницькому)</t>
  </si>
  <si>
    <t>Внески до статутного капіталу комунального підприємства "Хмельницький міський перинатальний центр"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</si>
  <si>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(Придбання обладнання і предметів довгострокового користування)</t>
  </si>
  <si>
    <t>Капітальний ремонт житлового фонду (приміщень)</t>
  </si>
  <si>
    <t>Капітальний ремонт даху корпусів №1, №2 рекреаційного центру "Берег надії" по вул. Підлісній, 4/1 в с. Головчинці, Летичівського району, Хмельницької області</t>
  </si>
  <si>
    <t>Капітальний ремонт  корпусу №2 рекреаційного центру "Берег надії" по     вул. Підлісній, 4/1 в с. Головчинці, Летичівського району, Хмельницької області (утеплення фасадів)</t>
  </si>
  <si>
    <t>Капітальний ремонт, заміна системи опалення в Рекреаційному центрі "Берег надії"  за адресою вул. Підлісна 4/1, с.Головчинці Летичівського району Хмельницької області</t>
  </si>
  <si>
    <t>Капітальні трансферти населенню</t>
  </si>
  <si>
    <t>Будівництво¹  установ та закладів соціальної сфери</t>
  </si>
  <si>
    <t>Капітальний ремонт приміщення дитячої музичної школи №1 ім. М. Мозгового по вул. Проскурівській, 18 в м.Хмельницькому</t>
  </si>
  <si>
    <t>Капітальний ремонт сцени дитячої музичної школи №1 ім. М. Мозгового по вул.Проскурівській, 18 в м.Хмельницькому</t>
  </si>
  <si>
    <t>Капітальний ремонт прилеглої території Хмельницької дитячої школи мистецтв "Райдуга" по вул. Курчатова, 9 в м.Хмельницькому</t>
  </si>
  <si>
    <t>2017 - 2022 роки</t>
  </si>
  <si>
    <t>Капітальний ремонт приміщення центру національного виховання учнівської молоді по вул. Курчатова, 1Б в м. Хмельницькому</t>
  </si>
  <si>
    <t>Капітальний ремонт нежитлового приміщення по вул. Кам'янецькій, 63 в        м. Хмельницькому</t>
  </si>
  <si>
    <t>2018 - 2021 роки</t>
  </si>
  <si>
    <t>Реконструкція спортивного комплексу «Поділля» (із влаштуванням світлодіодного табло) ДЮСШ №1 по вул.Проскурівській, 81 в м.Хмельницькому (в тому числі виготовлення проектно-кошторисної документації)</t>
  </si>
  <si>
    <t>Капітальний ремонт системи опалення приміщення Хмельницької ДЮСШ №2 "Авангард" по вул. Проскурівська, 66 в м.Хмельницький (в тому числі виготовлення проектно-кошторисної документації)</t>
  </si>
  <si>
    <t>разом з роботами</t>
  </si>
  <si>
    <t xml:space="preserve">Капітальний ремонт житлового фонду </t>
  </si>
  <si>
    <t>Капітальні видатки, в т.ч.:</t>
  </si>
  <si>
    <t xml:space="preserve">  </t>
  </si>
  <si>
    <t>капітальний ремонт прибудинкових територій</t>
  </si>
  <si>
    <t xml:space="preserve"> Капітальний ремонт зелених насаджень (омолодження дерев на вулицях міста)</t>
  </si>
  <si>
    <t xml:space="preserve"> </t>
  </si>
  <si>
    <t>Капітальний ремонт об’єктів благоустрою (мереж зовнішнього освітлення)</t>
  </si>
  <si>
    <t>Капітальний ремонт контейнерних майданчиків із встановленням підземних контейнерів</t>
  </si>
  <si>
    <t>Капітальний ремонт-розчистка русла річки Південний Буг від намулу, відкладів, завалів в межах міста Хмельницький  від вул.Трудової до вул.С.Бандери</t>
  </si>
  <si>
    <t>2019 - 2021 роки</t>
  </si>
  <si>
    <t>Капітальний ремонт атракціону "Колесо огляду" в парку культури та відпочинку ім. М. Чекмана в м.Хмельницькому</t>
  </si>
  <si>
    <t>Капітальний ремонт - улаштування інклюзивного дитячого майданчика у сквері ім. Т.Шевченка у м.Хмельницький</t>
  </si>
  <si>
    <t>2017 - 2021 роки</t>
  </si>
  <si>
    <t>Витрати на виконання Програми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у м. Хмельницькомц  на 2019-2022 роки</t>
  </si>
  <si>
    <t xml:space="preserve">Витрати на виконання Програми сприяння впровадження відновлювальних джерел енергії власникам приватних житлових будинків в м. Хмельницькому на 2018-2029 роки </t>
  </si>
  <si>
    <t>Внески до статутного капіталу МКП "Хмельницькводоканал" (Капітальний ремонт насосного агрегату № 2 на ГКНС по вул. Трудова, 6Б у м.Хмельницький)</t>
  </si>
  <si>
    <t>Внески до статутного капіталу МКП "Хмельницькводоканал" (Будівництво мережі каналізації від вул. Польова, 51 на пров. Ентузіастів до вул. Івана Павла ІІ, 5  м.р. Гречани м.Хмельницький)</t>
  </si>
  <si>
    <t>Внески до статутного капіталу МКП "Хмельницькводоканал" (Реконструкція ділянки водопроводу по вул. Північна в м.Хмельницький)</t>
  </si>
  <si>
    <t>Реконструкція приміщень НВО №1 по вул. Старокостянтинівське шосе, 3Б в м.Хмельницькому (в тому числі коригування проектно-кошторисної документації)</t>
  </si>
  <si>
    <t>Виготовлення проєктно-кошторисної документації на будівництво закладів дошкільної та загальної середньої освіти на вул. Січових стрільців, 8-А в м.Хмельницькому</t>
  </si>
  <si>
    <r>
      <t>Будівництво</t>
    </r>
    <r>
      <rPr>
        <b/>
        <vertAlign val="superscript"/>
        <sz val="11"/>
        <color rgb="FF000000"/>
        <rFont val="Times New Roman"/>
        <family val="1"/>
        <charset val="204"/>
      </rPr>
      <t>1</t>
    </r>
    <r>
      <rPr>
        <sz val="11"/>
        <color rgb="FF000000"/>
        <rFont val="Times New Roman"/>
        <family val="1"/>
        <charset val="204"/>
      </rPr>
      <t>  установ та закладів культури</t>
    </r>
  </si>
  <si>
    <t>Реставрація Хмельницького міського будинку культури по вул.Проскурівській, 43 в м. Хмельницькому</t>
  </si>
  <si>
    <t xml:space="preserve">Будівництво магістральної дороги на вул.Січових стрільців в м. Хмельницькому </t>
  </si>
  <si>
    <t>Будівництво вулиці Мельникова (від вул. Зарічанської до вул. Трудової) в м.Хмельницького</t>
  </si>
  <si>
    <t>Будівництво каналізаційних мереж в мікрорайоні "Озерна" в м.Хмельницькому (в т.ч.коригування проєктно-кошторисної документації)</t>
  </si>
  <si>
    <t>Виготовлення проєктно-кошторисної документації для будівництва зовнішніх  мереж газопостачання індустріального парку  "Хмельницький" по вул. Вінницьке шосе, 18 в м.Хмельницькому</t>
  </si>
  <si>
    <t>Виготовлення проєктно-кошторисної документації для будівництва зовнішніх мереж  водопостачання та каналізації індустріального парку  "Хмельницький" по  вул. Вінницьке шосе, 18 в м.Хмельницькому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</si>
  <si>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</si>
  <si>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Капітальний ремонт підсобного приміщення навчально-виховного об'єднання №5 ім.С.Єфремова</t>
  </si>
  <si>
    <t>Капітальний ремонт харчоблоку навчально-виховного об'єднання №5 ім. С.Єфремова</t>
  </si>
  <si>
    <t>Виготовлення проектно-кошторисної документації на проведення капітального ремонту приміщення басейну НВК №7</t>
  </si>
  <si>
    <t>Внески до статутного капіталу комунального підприємства "Хмельницька інфекційна лікарня" Хмельницької міської ради (Придбання обладнання і предметів довгострокового користування)</t>
  </si>
  <si>
    <t>Капітальний ремонт, для облаштування архіву, в підвальному приміщенні Центру надання соціальних послуг "Прозорий офіс" за адресою вул. Перемоги, 10Б в м.Хмельницькому</t>
  </si>
  <si>
    <t>Програма
підтримки обдарованих дітей м.Хмельницького</t>
  </si>
  <si>
    <t>Субвенція з місцевого бюджету на забезпечення якісної, сучасної та доступної загальної середньої освіти "Нова українська школа"</t>
  </si>
  <si>
    <t xml:space="preserve"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</t>
  </si>
  <si>
    <t>Вільний залишок коштів на 01.01.2020  року:</t>
  </si>
  <si>
    <t>Капітальний ремонт приміщення по вул.Соборна,16  (ремонт і фарбування фасаду, створення віконного пройому з встановленням металопластикового вікна)  (в тому числі виготовлення проектно-кошторисної документації)</t>
  </si>
  <si>
    <t>Вікна виконков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</si>
  <si>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</si>
  <si>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 xml:space="preserve">Проєкт програми
шефської допомоги військовим частинам Збройних Сил України, Національної гвардії України, які розташовані на території м.Хмельницького на 2020-2022 роки </t>
  </si>
  <si>
    <t>Внески до статутного капіталу комунального підприємства "Хмельницька міська лікарня" Хмельницької міської ради (Капітальний ремонт сантехнічних вузлів першого поверху корпусу №1 комунального підприємства "Хмельницька міська лікарня" за адресою: м.Хмельницький, пров. Проскурівський, 1</t>
  </si>
  <si>
    <t>Реалізація проєкту "НЕФКО"</t>
  </si>
  <si>
    <t>Капітальний ремонт (зовнішнє опорядження та утеплення фасадів, заміна покрівлі) Хмельницького ДНЗ №47 "Дзвіночок" за адресою вул С. Бандери, 20/2, м. Хмельницький  (в тому числі виготовлення проектно-кошторисної документації)</t>
  </si>
  <si>
    <t>Капітальний ремонт даху їдальні Хмельницького ліцею №17, по вул.Проскурівського підпілля, 89 м.Хмельницький</t>
  </si>
  <si>
    <t xml:space="preserve">Реконструкція спортивного майданчика під мультифункціональний  майданчик для занять ігровими видами спорту на території Хмельницької спеціалізованої середньої загальноосвітньої школи І-ІІІ ступенів №13 імені М.К.Чекмана за адресою вул. Профспілковій, 39 в м.Хмельницькому (в тому числі виготовлення проектно-кошторисної документації) </t>
  </si>
  <si>
    <t>капітальний ремонт дитячих та спортивних майданчиків</t>
  </si>
  <si>
    <t>Реалізація громадських проєктів</t>
  </si>
  <si>
    <t>Капітальний ремонт дитячого майданчика в масиві індивідуальної забудови  "Катіонівський масив" в м. Хмельницькому</t>
  </si>
  <si>
    <t xml:space="preserve">Капітальний ремонт пішохідної зони на розі вул. Зарічанської та вул. Бандери у м.Хмельницькому </t>
  </si>
  <si>
    <t>Капітальний ремонт  дитячого майданчика на вул. Загребельного, 26 в м. Хмельницький</t>
  </si>
  <si>
    <t xml:space="preserve">Виготовлення  ПКД на реконструкцію під`їздної дороги від вул Вінницьке шосе до вул Вінницьке шосе, 18 (індустріальний парк) </t>
  </si>
  <si>
    <t>Внески до статутного капіталу ХКП "Спецкомунтранс" (Реконструкція полігону твердих побутових відходів з метою запобігання виникнення надзвичайної екологічної ситуації за адресою м. Хмельницький, вул. Проспект Миру, 7 розробка розділу "Проект  організації будівництва")</t>
  </si>
  <si>
    <t>Внески до статутного капіталу ХКП "Спецкомунтранс" (Реконструкція туалету загального користування по вул. Проскурівській, 40-Б    в      м.Хмельницькому)</t>
  </si>
  <si>
    <t>Внески до статутного капіталу ХКП "Спецкомунтранс" (Придбання біотуалетів)</t>
  </si>
  <si>
    <t>Внески до статутного капіталу ХКП "Спецкомунтранс" (Проведення експертизи проектної документації з реконструкції полігону твердих побутових відходів з метою запобігання виникнення надзвичайно екологічної ситуації за адресою м. Хмельницький, вул. Проспект Миру, 7)</t>
  </si>
  <si>
    <t>Внески до статутного капіталу ХКП "Спецкомунтранс" (придбання модульної євро кабіни )</t>
  </si>
  <si>
    <t xml:space="preserve">Внески до статутного капіталу ХКП "Спецкомунтранс" (придбання пластикових контейнерів) </t>
  </si>
  <si>
    <t xml:space="preserve">Внески до статутного капіталу ХКП "Спецкомунтранс"(придбання склопластикових контейнерів типу Дзвін 2,5 м.куб </t>
  </si>
  <si>
    <t>Внески до статутного капіталу Міського комунального підприємства по утриманню нежитлових приміщень (Капітальний ремонт приміщень першого поверху по вул. Кам'янецькій, 47 в м. Хмельницькому)</t>
  </si>
  <si>
    <t>Внески до статутного капіталу МКП "Хмельницькводоканал" (Виготовлення проектно-кошторисної документації з будівництва сучасних каналізаційних очисних споруд господарсько-побутових стоків м. Хмельницький, вул. Вінницьке шосе, 135)</t>
  </si>
  <si>
    <t>Внески до статутного капіталу МКП "Хмельницькводоканал" (Будівництво водопроводу діаметром 160 мм по вул. С.Бандери, 42 в м.Хмельницький</t>
  </si>
  <si>
    <t>Внески до статутного капіталу МКП "Хмельницькводоканал" (Будівництво вуличних мереж водовідведення напірних каналізаційних колекторів, каналізаційно- насосної станції, електропостачання КНС, мікрорайон Дубове у м.Хмельницький)</t>
  </si>
  <si>
    <t>Внески до статутного капіталу МКП "Хмельницькводоканал" (Будівництво вуличних мереж водовідведення по вул.О.Кошового та Черняховського у м.Хмельницький)</t>
  </si>
  <si>
    <t>Внески до статутного капіталу МКП "Хмельницькводоканал" (Придбання насосних агрегатів)</t>
  </si>
  <si>
    <t>Внески до статутного капіталу МКП "Хмельницькводоканал" (Придбання сталевих труб)</t>
  </si>
  <si>
    <t>Внески до статутного капіталу СКП "Хмельницька міська ритуальна служба" (Капітальний ремонт пішохідних доріжок на кладовищі «Ракове»)</t>
  </si>
  <si>
    <t>Виготовлення цифрових ортофотопланів території міста Хмельницький М-1000 (мікрорайони: Центр, Виставка, Озерна, Заріччя) та створення 3D моделей будівель (центр)</t>
  </si>
  <si>
    <t>Заходи щодо відновлення і підтримання сприятливого гідрологічного режиму та санітарного стану водойм міста - виготовлення проектно-кошторисної документації по капітальному ремонту - розчистці русла річки Кудрянка в межах міста Хмельницького (в тому числі проходження процедури ОВД)</t>
  </si>
  <si>
    <t>Організація проведення стратегічної екологічної оцінки</t>
  </si>
  <si>
    <t>2018 - 2024 роки</t>
  </si>
  <si>
    <t>2015 - 2022 роки</t>
  </si>
  <si>
    <t>2016 - 2022 роки</t>
  </si>
  <si>
    <t>2015 - 2024 роки</t>
  </si>
  <si>
    <t>Капітальний ремонт, відновлення зовнішньої штукатурки з подальшим оздобленням фасаду на вул. Курчатова, 1 Д, в м. Хмельницькому</t>
  </si>
  <si>
    <t xml:space="preserve">Внески до статутного капіталу МКП "Хмельницькводоканал" (капітальний ремонт дворової каналізації від ж.б. по вул. Сковороди, 11 до колодязя К-4 в м.Хмельницький </t>
  </si>
  <si>
    <t>5 555 249,00 - залишилося робити</t>
  </si>
  <si>
    <t>Реконструкція спортивного майданчика під мультифункціональний  майданчик для занять ігровими видами спорту на території Хмельницької середньої загальноосвітньої школи І-ІІІ ступенів №21 за адресою просп. Миру, 76/5</t>
  </si>
  <si>
    <t>Проєкт програми співфінансування робіт з ремонту багатоквартирних житлових будинків м. Хмельницького на 2020 - 2024 роки</t>
  </si>
  <si>
    <t>Капітальний ремонт ліфтів</t>
  </si>
  <si>
    <t>Капітальний ремонт пішохідних доріжок в парку культури та відпочинку ім. М. Чекмана в м. Хмельницькому (в тому числі виготовлення проектно-кошторисної документації)</t>
  </si>
  <si>
    <t>Капітальний ремонт дитячого майданчика в парку культури та відпочинку ім. М. Чекмана в м.Хмельницькому (в тому числі виготовлення проектно-кошторисної документації)</t>
  </si>
  <si>
    <t>Капітальний ремонт зони відпочинку навколо водойми в мікрорайоні "Озерна" в м.Хмельницький (в тому числі коригування проектно-кошторисної документації, експертиза)</t>
  </si>
  <si>
    <t>Капітальний ремонт дитячого майданчика на вул. К. Степанкова в м.Хмельницькому (в тому числі виготовлення проектно-кошторисної документації)</t>
  </si>
  <si>
    <t>Внески до статутного капіталу ХКП "Спецкомунтранс" (Придбання земельної ділянки для розширення меж полігону твердих побутових відходів м.Хмельницького)</t>
  </si>
  <si>
    <t>Внески до статутного капіталу МКП "Хмельницькводоканал" (Реконструкція технологічної частини холодного водопостачання ЦТП-6 по вул. Залізняка, 36А, м.Хмельницький шляхом переобладнання системи водопостачання будівель і споруд приладами для введення відокремленого обліку холодної води та енергоносіїв)</t>
  </si>
  <si>
    <t xml:space="preserve">Керуючий справами виконавчого комітету  </t>
  </si>
  <si>
    <t>Ю. САБІЙ</t>
  </si>
  <si>
    <t xml:space="preserve">Керуючий справами виконавчого комітету </t>
  </si>
  <si>
    <t>Керуючий справами виконавчого комітету                                                                                                                                                                                                      Ю. САБІЙ</t>
  </si>
  <si>
    <t>Керуючий справами виконавчого комітету                                                                                                  Ю. САБІЙ</t>
  </si>
  <si>
    <t>Керуючий справами виконавчого комітету</t>
  </si>
  <si>
    <t xml:space="preserve"> Ю. САБІЙ</t>
  </si>
  <si>
    <t xml:space="preserve">Проєкт міської цільової програми забезпечення надання комплексної послуги «єМалятко» м.Хмельницького на 2020 рік </t>
  </si>
  <si>
    <t>Внески до статутного капіталу МКП "Хмельницькводоканал" (капітальний ремонт каналізаційної мережі від житлового будинку по вул. Сковороди, 11/2 від колодязя К-1 до колодязя К-3 в м.Хмельницький )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</si>
  <si>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м.Хмельницький")</t>
  </si>
  <si>
    <t xml:space="preserve">до рішення   № 419 від 28.05.2020 </t>
  </si>
  <si>
    <t>від 28.05.2020  № 419</t>
  </si>
  <si>
    <t xml:space="preserve">до рішення  № 419       від  28.05.2020 року </t>
  </si>
  <si>
    <t>Додаток 4
до рішення  № 419        від  28.05.2020 року</t>
  </si>
  <si>
    <t xml:space="preserve">Додаток 5
до рішення № 419 від 28.05.2020 року
</t>
  </si>
  <si>
    <t xml:space="preserve">до рішення  № 419 від  28.05.2020 року </t>
  </si>
  <si>
    <t xml:space="preserve">від 28.05.2020 року </t>
  </si>
  <si>
    <t xml:space="preserve">до рішення № 419 </t>
  </si>
  <si>
    <t xml:space="preserve">до рішення  № 419  від 28.05.2020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</si>
</sst>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#,##0.0000"/>
  </numFmts>
  <fonts count="132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b/>
      <i/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1"/>
      <color indexed="8"/>
      <name val="Times New Roman"/>
      <family val="1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28"/>
      <name val="Times New Roman Cyr"/>
      <family val="1"/>
      <charset val="204"/>
    </font>
    <font>
      <b/>
      <sz val="36"/>
      <name val="Times New Roman Cyr"/>
      <family val="1"/>
      <charset val="204"/>
    </font>
    <font>
      <b/>
      <sz val="2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8"/>
      <name val="Bookman Old Style"/>
      <family val="1"/>
      <charset val="204"/>
    </font>
    <font>
      <sz val="8"/>
      <name val="Bookman Old Style"/>
      <family val="1"/>
      <charset val="204"/>
    </font>
    <font>
      <b/>
      <i/>
      <sz val="9"/>
      <color indexed="6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36"/>
      <name val="Arial Cyr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22"/>
      <name val="Times New Roman Cyr"/>
      <family val="1"/>
      <charset val="204"/>
    </font>
    <font>
      <b/>
      <sz val="48"/>
      <name val="Times New Roman Cyr"/>
      <family val="1"/>
      <charset val="204"/>
    </font>
    <font>
      <sz val="48"/>
      <name val="Arial Cyr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b/>
      <sz val="10"/>
      <name val="Times New Roman CYR"/>
      <charset val="204"/>
    </font>
    <font>
      <b/>
      <i/>
      <sz val="37"/>
      <name val="Arial Cyr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i/>
      <sz val="36"/>
      <name val="Arial Cyr"/>
      <charset val="204"/>
    </font>
    <font>
      <sz val="4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vertAlign val="superscript"/>
      <sz val="36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12"/>
      <name val="Arial"/>
      <family val="2"/>
      <charset val="204"/>
    </font>
    <font>
      <b/>
      <sz val="14"/>
      <name val="Times New Roman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99FF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gradientFill type="path" left="0.5" right="0.5" top="0.5" bottom="0.5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gradientFill degree="270">
        <stop position="0">
          <color theme="0"/>
        </stop>
        <stop position="1">
          <color rgb="FFFFFF99"/>
        </stop>
      </gradient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</borders>
  <cellStyleXfs count="100">
    <xf numFmtId="0" fontId="0" fillId="0" borderId="0"/>
    <xf numFmtId="0" fontId="7" fillId="0" borderId="0"/>
    <xf numFmtId="0" fontId="20" fillId="2" borderId="1" applyNumberFormat="0" applyAlignment="0" applyProtection="0"/>
    <xf numFmtId="0" fontId="28" fillId="3" borderId="0" applyNumberFormat="0" applyBorder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52" fillId="0" borderId="0"/>
    <xf numFmtId="0" fontId="30" fillId="0" borderId="0"/>
    <xf numFmtId="0" fontId="7" fillId="0" borderId="0"/>
    <xf numFmtId="0" fontId="52" fillId="0" borderId="0"/>
    <xf numFmtId="0" fontId="7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>
      <alignment vertical="top"/>
    </xf>
    <xf numFmtId="0" fontId="24" fillId="5" borderId="5" applyNumberFormat="0" applyAlignment="0" applyProtection="0"/>
    <xf numFmtId="0" fontId="25" fillId="0" borderId="0" applyNumberFormat="0" applyFill="0" applyBorder="0" applyAlignment="0" applyProtection="0"/>
    <xf numFmtId="0" fontId="7" fillId="0" borderId="0"/>
    <xf numFmtId="0" fontId="52" fillId="0" borderId="0"/>
    <xf numFmtId="0" fontId="9" fillId="0" borderId="0"/>
    <xf numFmtId="0" fontId="69" fillId="0" borderId="0" applyNumberFormat="0" applyFont="0" applyFill="0" applyBorder="0" applyAlignment="0" applyProtection="0">
      <alignment vertical="top"/>
    </xf>
    <xf numFmtId="0" fontId="29" fillId="0" borderId="0"/>
    <xf numFmtId="0" fontId="8" fillId="0" borderId="0" applyNumberFormat="0" applyFont="0" applyFill="0" applyBorder="0" applyAlignment="0" applyProtection="0">
      <alignment vertical="top"/>
    </xf>
    <xf numFmtId="0" fontId="9" fillId="0" borderId="0"/>
    <xf numFmtId="0" fontId="29" fillId="0" borderId="0"/>
    <xf numFmtId="0" fontId="26" fillId="0" borderId="6" applyNumberFormat="0" applyFill="0" applyAlignment="0" applyProtection="0"/>
    <xf numFmtId="0" fontId="31" fillId="4" borderId="0" applyNumberFormat="0" applyBorder="0" applyAlignment="0" applyProtection="0"/>
    <xf numFmtId="0" fontId="29" fillId="0" borderId="0"/>
    <xf numFmtId="0" fontId="27" fillId="0" borderId="0" applyNumberFormat="0" applyFill="0" applyBorder="0" applyAlignment="0" applyProtection="0"/>
    <xf numFmtId="0" fontId="7" fillId="0" borderId="0"/>
    <xf numFmtId="0" fontId="82" fillId="7" borderId="0" applyNumberFormat="0" applyBorder="0" applyAlignment="0" applyProtection="0"/>
    <xf numFmtId="0" fontId="82" fillId="8" borderId="0" applyNumberFormat="0" applyBorder="0" applyAlignment="0" applyProtection="0"/>
    <xf numFmtId="0" fontId="82" fillId="9" borderId="0" applyNumberFormat="0" applyBorder="0" applyAlignment="0" applyProtection="0"/>
    <xf numFmtId="0" fontId="82" fillId="10" borderId="0" applyNumberFormat="0" applyBorder="0" applyAlignment="0" applyProtection="0"/>
    <xf numFmtId="0" fontId="82" fillId="3" borderId="0" applyNumberFormat="0" applyBorder="0" applyAlignment="0" applyProtection="0"/>
    <xf numFmtId="0" fontId="82" fillId="2" borderId="0" applyNumberFormat="0" applyBorder="0" applyAlignment="0" applyProtection="0"/>
    <xf numFmtId="0" fontId="82" fillId="11" borderId="0" applyNumberFormat="0" applyBorder="0" applyAlignment="0" applyProtection="0"/>
    <xf numFmtId="0" fontId="82" fillId="12" borderId="0" applyNumberFormat="0" applyBorder="0" applyAlignment="0" applyProtection="0"/>
    <xf numFmtId="0" fontId="82" fillId="13" borderId="0" applyNumberFormat="0" applyBorder="0" applyAlignment="0" applyProtection="0"/>
    <xf numFmtId="0" fontId="82" fillId="10" borderId="0" applyNumberFormat="0" applyBorder="0" applyAlignment="0" applyProtection="0"/>
    <xf numFmtId="0" fontId="82" fillId="11" borderId="0" applyNumberFormat="0" applyBorder="0" applyAlignment="0" applyProtection="0"/>
    <xf numFmtId="0" fontId="82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3" fillId="19" borderId="0" applyNumberFormat="0" applyBorder="0" applyAlignment="0" applyProtection="0"/>
    <xf numFmtId="0" fontId="83" fillId="20" borderId="0" applyNumberFormat="0" applyBorder="0" applyAlignment="0" applyProtection="0"/>
    <xf numFmtId="0" fontId="83" fillId="21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22" borderId="0" applyNumberFormat="0" applyBorder="0" applyAlignment="0" applyProtection="0"/>
    <xf numFmtId="0" fontId="20" fillId="2" borderId="1" applyNumberFormat="0" applyAlignment="0" applyProtection="0"/>
    <xf numFmtId="0" fontId="84" fillId="23" borderId="18" applyNumberFormat="0" applyAlignment="0" applyProtection="0"/>
    <xf numFmtId="0" fontId="85" fillId="23" borderId="1" applyNumberFormat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6" fillId="0" borderId="19" applyNumberFormat="0" applyFill="0" applyAlignment="0" applyProtection="0"/>
    <xf numFmtId="0" fontId="24" fillId="5" borderId="5" applyNumberFormat="0" applyAlignment="0" applyProtection="0"/>
    <xf numFmtId="0" fontId="25" fillId="0" borderId="0" applyNumberFormat="0" applyFill="0" applyBorder="0" applyAlignment="0" applyProtection="0"/>
    <xf numFmtId="0" fontId="87" fillId="4" borderId="0" applyNumberFormat="0" applyBorder="0" applyAlignment="0" applyProtection="0"/>
    <xf numFmtId="0" fontId="88" fillId="8" borderId="0" applyNumberFormat="0" applyBorder="0" applyAlignment="0" applyProtection="0"/>
    <xf numFmtId="0" fontId="89" fillId="0" borderId="0" applyNumberFormat="0" applyFill="0" applyBorder="0" applyAlignment="0" applyProtection="0"/>
    <xf numFmtId="0" fontId="82" fillId="24" borderId="20" applyNumberFormat="0" applyFont="0" applyAlignment="0" applyProtection="0"/>
    <xf numFmtId="0" fontId="26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0" applyNumberFormat="0" applyBorder="0" applyAlignment="0" applyProtection="0"/>
    <xf numFmtId="0" fontId="99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15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08">
    <xf numFmtId="0" fontId="0" fillId="0" borderId="0" xfId="0"/>
    <xf numFmtId="0" fontId="10" fillId="0" borderId="0" xfId="0" applyFont="1" applyAlignment="1">
      <alignment vertical="center"/>
    </xf>
    <xf numFmtId="0" fontId="12" fillId="0" borderId="0" xfId="0" applyFont="1"/>
    <xf numFmtId="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47" fillId="0" borderId="0" xfId="0" applyFont="1"/>
    <xf numFmtId="0" fontId="13" fillId="0" borderId="0" xfId="35" applyFont="1"/>
    <xf numFmtId="0" fontId="9" fillId="0" borderId="0" xfId="35"/>
    <xf numFmtId="0" fontId="9" fillId="6" borderId="0" xfId="35" applyFill="1"/>
    <xf numFmtId="4" fontId="58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0" fontId="9" fillId="0" borderId="0" xfId="39"/>
    <xf numFmtId="0" fontId="32" fillId="0" borderId="0" xfId="39" applyFont="1" applyAlignment="1">
      <alignment horizontal="center" vertical="center"/>
    </xf>
    <xf numFmtId="0" fontId="18" fillId="0" borderId="11" xfId="39" applyFont="1" applyBorder="1" applyAlignment="1">
      <alignment vertical="center"/>
    </xf>
    <xf numFmtId="0" fontId="9" fillId="0" borderId="0" xfId="39" applyAlignment="1">
      <alignment vertical="center" wrapText="1"/>
    </xf>
    <xf numFmtId="0" fontId="17" fillId="0" borderId="7" xfId="39" applyFont="1" applyBorder="1" applyAlignment="1">
      <alignment horizontal="center" vertical="center" wrapText="1"/>
    </xf>
    <xf numFmtId="0" fontId="32" fillId="0" borderId="0" xfId="39" applyFont="1" applyAlignment="1">
      <alignment wrapText="1"/>
    </xf>
    <xf numFmtId="0" fontId="33" fillId="0" borderId="7" xfId="39" applyFont="1" applyBorder="1" applyAlignment="1">
      <alignment horizontal="center" vertical="center" wrapText="1"/>
    </xf>
    <xf numFmtId="0" fontId="33" fillId="0" borderId="7" xfId="39" applyFont="1" applyBorder="1" applyAlignment="1">
      <alignment horizontal="left" vertical="center" wrapText="1"/>
    </xf>
    <xf numFmtId="4" fontId="34" fillId="0" borderId="7" xfId="39" applyNumberFormat="1" applyFont="1" applyBorder="1" applyAlignment="1">
      <alignment vertical="center" wrapText="1"/>
    </xf>
    <xf numFmtId="0" fontId="33" fillId="0" borderId="0" xfId="39" applyFont="1" applyAlignment="1">
      <alignment wrapText="1"/>
    </xf>
    <xf numFmtId="0" fontId="32" fillId="0" borderId="7" xfId="39" applyFont="1" applyBorder="1" applyAlignment="1">
      <alignment horizontal="center" vertical="center" wrapText="1"/>
    </xf>
    <xf numFmtId="0" fontId="17" fillId="0" borderId="7" xfId="39" applyFont="1" applyBorder="1" applyAlignment="1">
      <alignment vertical="center" wrapText="1"/>
    </xf>
    <xf numFmtId="4" fontId="19" fillId="0" borderId="7" xfId="39" applyNumberFormat="1" applyFont="1" applyBorder="1" applyAlignment="1">
      <alignment vertical="center" wrapText="1"/>
    </xf>
    <xf numFmtId="4" fontId="35" fillId="0" borderId="7" xfId="39" applyNumberFormat="1" applyFont="1" applyBorder="1" applyAlignment="1">
      <alignment vertical="center" wrapText="1"/>
    </xf>
    <xf numFmtId="0" fontId="61" fillId="0" borderId="0" xfId="39" applyFont="1" applyAlignment="1">
      <alignment wrapText="1"/>
    </xf>
    <xf numFmtId="0" fontId="38" fillId="0" borderId="7" xfId="39" applyFont="1" applyBorder="1" applyAlignment="1">
      <alignment vertical="center" wrapText="1"/>
    </xf>
    <xf numFmtId="4" fontId="39" fillId="0" borderId="7" xfId="39" applyNumberFormat="1" applyFont="1" applyBorder="1" applyAlignment="1">
      <alignment vertical="center" wrapText="1"/>
    </xf>
    <xf numFmtId="0" fontId="61" fillId="0" borderId="7" xfId="39" applyFont="1" applyBorder="1" applyAlignment="1">
      <alignment horizontal="center" vertical="center" wrapText="1"/>
    </xf>
    <xf numFmtId="0" fontId="61" fillId="0" borderId="7" xfId="39" applyFont="1" applyBorder="1" applyAlignment="1">
      <alignment vertical="center" wrapText="1"/>
    </xf>
    <xf numFmtId="4" fontId="37" fillId="0" borderId="7" xfId="39" applyNumberFormat="1" applyFont="1" applyBorder="1" applyAlignment="1">
      <alignment vertical="center" wrapText="1"/>
    </xf>
    <xf numFmtId="4" fontId="33" fillId="0" borderId="7" xfId="39" applyNumberFormat="1" applyFont="1" applyBorder="1" applyAlignment="1">
      <alignment horizontal="right" vertical="center" wrapText="1"/>
    </xf>
    <xf numFmtId="4" fontId="32" fillId="0" borderId="7" xfId="39" applyNumberFormat="1" applyFont="1" applyBorder="1" applyAlignment="1">
      <alignment horizontal="right" vertical="center" wrapText="1"/>
    </xf>
    <xf numFmtId="0" fontId="61" fillId="0" borderId="7" xfId="37" applyFont="1" applyBorder="1" applyAlignment="1">
      <alignment horizontal="justify" vertical="top" wrapText="1"/>
    </xf>
    <xf numFmtId="4" fontId="32" fillId="0" borderId="7" xfId="39" applyNumberFormat="1" applyFont="1" applyBorder="1" applyAlignment="1">
      <alignment vertical="center" wrapText="1"/>
    </xf>
    <xf numFmtId="4" fontId="40" fillId="0" borderId="7" xfId="39" applyNumberFormat="1" applyFont="1" applyBorder="1" applyAlignment="1">
      <alignment vertical="center" wrapText="1"/>
    </xf>
    <xf numFmtId="0" fontId="9" fillId="0" borderId="0" xfId="39" applyAlignment="1">
      <alignment wrapText="1"/>
    </xf>
    <xf numFmtId="0" fontId="33" fillId="0" borderId="7" xfId="39" applyFont="1" applyBorder="1" applyAlignment="1">
      <alignment vertical="center" wrapText="1"/>
    </xf>
    <xf numFmtId="0" fontId="34" fillId="0" borderId="7" xfId="37" applyFont="1" applyBorder="1" applyAlignment="1">
      <alignment horizontal="justify" vertical="top" wrapText="1"/>
    </xf>
    <xf numFmtId="4" fontId="36" fillId="0" borderId="7" xfId="39" applyNumberFormat="1" applyFont="1" applyBorder="1" applyAlignment="1">
      <alignment vertical="center" wrapText="1"/>
    </xf>
    <xf numFmtId="0" fontId="37" fillId="0" borderId="7" xfId="37" applyFont="1" applyBorder="1" applyAlignment="1">
      <alignment horizontal="justify" vertical="top" wrapText="1"/>
    </xf>
    <xf numFmtId="0" fontId="61" fillId="0" borderId="13" xfId="37" applyFont="1" applyBorder="1" applyAlignment="1">
      <alignment horizontal="justify" vertical="top" wrapText="1"/>
    </xf>
    <xf numFmtId="0" fontId="62" fillId="0" borderId="7" xfId="37" applyFont="1" applyBorder="1" applyAlignment="1">
      <alignment horizontal="justify" vertical="top" wrapText="1"/>
    </xf>
    <xf numFmtId="0" fontId="63" fillId="0" borderId="7" xfId="37" applyFont="1" applyBorder="1" applyAlignment="1">
      <alignment horizontal="justify" vertical="top" wrapText="1"/>
    </xf>
    <xf numFmtId="0" fontId="38" fillId="0" borderId="7" xfId="39" applyFont="1" applyBorder="1" applyAlignment="1">
      <alignment horizontal="center" vertical="center" wrapText="1"/>
    </xf>
    <xf numFmtId="0" fontId="39" fillId="0" borderId="7" xfId="37" applyFont="1" applyBorder="1" applyAlignment="1">
      <alignment horizontal="justify" vertical="top" wrapText="1"/>
    </xf>
    <xf numFmtId="0" fontId="37" fillId="0" borderId="7" xfId="37" applyFont="1" applyBorder="1" applyAlignment="1">
      <alignment vertical="top" wrapText="1"/>
    </xf>
    <xf numFmtId="0" fontId="9" fillId="0" borderId="7" xfId="39" applyBorder="1" applyAlignment="1">
      <alignment vertical="center" wrapText="1"/>
    </xf>
    <xf numFmtId="0" fontId="64" fillId="0" borderId="0" xfId="39" applyFont="1" applyAlignment="1">
      <alignment wrapText="1"/>
    </xf>
    <xf numFmtId="0" fontId="63" fillId="0" borderId="7" xfId="39" applyFont="1" applyBorder="1" applyAlignment="1">
      <alignment horizontal="center" vertical="center" wrapText="1"/>
    </xf>
    <xf numFmtId="0" fontId="62" fillId="0" borderId="7" xfId="37" applyFont="1" applyBorder="1" applyAlignment="1">
      <alignment vertical="top" wrapText="1"/>
    </xf>
    <xf numFmtId="4" fontId="65" fillId="0" borderId="7" xfId="39" applyNumberFormat="1" applyFont="1" applyBorder="1" applyAlignment="1">
      <alignment vertical="center" wrapText="1"/>
    </xf>
    <xf numFmtId="0" fontId="66" fillId="0" borderId="7" xfId="37" applyFont="1" applyBorder="1" applyAlignment="1">
      <alignment horizontal="justify" vertical="top" wrapText="1"/>
    </xf>
    <xf numFmtId="0" fontId="67" fillId="0" borderId="7" xfId="37" applyFont="1" applyBorder="1" applyAlignment="1">
      <alignment horizontal="justify" vertical="top" wrapText="1"/>
    </xf>
    <xf numFmtId="0" fontId="32" fillId="0" borderId="7" xfId="39" applyFont="1" applyBorder="1" applyAlignment="1">
      <alignment vertical="center" wrapText="1"/>
    </xf>
    <xf numFmtId="0" fontId="68" fillId="0" borderId="7" xfId="37" applyFont="1" applyBorder="1" applyAlignment="1">
      <alignment horizontal="justify" vertical="top" wrapText="1"/>
    </xf>
    <xf numFmtId="0" fontId="17" fillId="0" borderId="7" xfId="37" applyFont="1" applyBorder="1" applyAlignment="1">
      <alignment horizontal="justify" vertical="top" wrapText="1"/>
    </xf>
    <xf numFmtId="0" fontId="15" fillId="0" borderId="7" xfId="37" applyFont="1" applyBorder="1" applyAlignment="1">
      <alignment horizontal="justify" vertical="top" wrapText="1"/>
    </xf>
    <xf numFmtId="0" fontId="9" fillId="0" borderId="7" xfId="39" applyBorder="1" applyAlignment="1">
      <alignment horizontal="center" vertical="center" wrapText="1"/>
    </xf>
    <xf numFmtId="0" fontId="60" fillId="0" borderId="7" xfId="39" applyFont="1" applyBorder="1" applyAlignment="1">
      <alignment vertical="center" wrapText="1"/>
    </xf>
    <xf numFmtId="0" fontId="14" fillId="0" borderId="0" xfId="39" applyFont="1"/>
    <xf numFmtId="2" fontId="9" fillId="0" borderId="0" xfId="39" applyNumberFormat="1"/>
    <xf numFmtId="4" fontId="9" fillId="0" borderId="0" xfId="39" applyNumberFormat="1"/>
    <xf numFmtId="0" fontId="19" fillId="0" borderId="0" xfId="0" applyFont="1"/>
    <xf numFmtId="0" fontId="18" fillId="0" borderId="7" xfId="0" applyFont="1" applyBorder="1" applyAlignment="1">
      <alignment horizontal="center" vertical="top" wrapText="1"/>
    </xf>
    <xf numFmtId="0" fontId="71" fillId="0" borderId="7" xfId="0" applyFont="1" applyBorder="1" applyAlignment="1">
      <alignment horizontal="center" vertical="top" wrapText="1"/>
    </xf>
    <xf numFmtId="4" fontId="17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72" fillId="0" borderId="0" xfId="35" applyFont="1"/>
    <xf numFmtId="0" fontId="15" fillId="0" borderId="0" xfId="35" applyFont="1" applyAlignment="1">
      <alignment horizontal="center" vertical="center" wrapText="1"/>
    </xf>
    <xf numFmtId="0" fontId="18" fillId="0" borderId="0" xfId="35" applyFont="1" applyAlignment="1">
      <alignment horizontal="center" vertical="center" wrapText="1"/>
    </xf>
    <xf numFmtId="0" fontId="15" fillId="0" borderId="0" xfId="35" applyFont="1" applyAlignment="1">
      <alignment horizontal="center"/>
    </xf>
    <xf numFmtId="0" fontId="72" fillId="0" borderId="0" xfId="35" applyFont="1" applyAlignment="1">
      <alignment horizontal="center"/>
    </xf>
    <xf numFmtId="0" fontId="18" fillId="0" borderId="0" xfId="35" applyFont="1" applyAlignment="1">
      <alignment horizontal="right"/>
    </xf>
    <xf numFmtId="0" fontId="72" fillId="0" borderId="15" xfId="35" applyFont="1" applyBorder="1"/>
    <xf numFmtId="0" fontId="72" fillId="0" borderId="16" xfId="35" applyFont="1" applyBorder="1"/>
    <xf numFmtId="0" fontId="61" fillId="0" borderId="0" xfId="35" applyFont="1"/>
    <xf numFmtId="0" fontId="73" fillId="0" borderId="0" xfId="35" applyFont="1"/>
    <xf numFmtId="0" fontId="69" fillId="0" borderId="0" xfId="36">
      <alignment vertical="top"/>
    </xf>
    <xf numFmtId="0" fontId="74" fillId="0" borderId="0" xfId="36" applyFont="1" applyAlignment="1">
      <alignment horizontal="center" vertical="top"/>
    </xf>
    <xf numFmtId="0" fontId="14" fillId="0" borderId="0" xfId="36" applyFont="1" applyAlignment="1">
      <alignment horizontal="center" vertical="top"/>
    </xf>
    <xf numFmtId="2" fontId="69" fillId="0" borderId="0" xfId="36" applyNumberFormat="1" applyAlignment="1">
      <alignment horizontal="center" vertical="top"/>
    </xf>
    <xf numFmtId="0" fontId="76" fillId="0" borderId="0" xfId="36" applyFont="1" applyAlignment="1">
      <alignment horizontal="center" vertical="top" wrapText="1"/>
    </xf>
    <xf numFmtId="2" fontId="76" fillId="0" borderId="0" xfId="36" applyNumberFormat="1" applyFont="1" applyAlignment="1">
      <alignment horizontal="center" vertical="top" wrapText="1"/>
    </xf>
    <xf numFmtId="165" fontId="13" fillId="0" borderId="0" xfId="36" applyNumberFormat="1" applyFont="1" applyAlignment="1">
      <alignment horizontal="center" vertical="top"/>
    </xf>
    <xf numFmtId="0" fontId="78" fillId="0" borderId="0" xfId="38" applyFont="1" applyAlignment="1" applyProtection="1">
      <alignment horizontal="left" vertical="center" wrapText="1"/>
      <protection locked="0"/>
    </xf>
    <xf numFmtId="0" fontId="76" fillId="0" borderId="0" xfId="36" applyFont="1" applyAlignment="1">
      <alignment horizontal="left" vertical="top" wrapText="1"/>
    </xf>
    <xf numFmtId="0" fontId="16" fillId="0" borderId="0" xfId="39" applyFont="1"/>
    <xf numFmtId="0" fontId="17" fillId="0" borderId="7" xfId="0" applyFont="1" applyBorder="1" applyAlignment="1">
      <alignment horizontal="left" vertical="center" wrapText="1"/>
    </xf>
    <xf numFmtId="4" fontId="9" fillId="0" borderId="0" xfId="35" applyNumberFormat="1"/>
    <xf numFmtId="4" fontId="91" fillId="0" borderId="0" xfId="0" applyNumberFormat="1" applyFont="1" applyAlignment="1">
      <alignment vertical="center"/>
    </xf>
    <xf numFmtId="0" fontId="93" fillId="0" borderId="0" xfId="0" applyFont="1" applyAlignment="1">
      <alignment horizontal="left" vertical="center"/>
    </xf>
    <xf numFmtId="0" fontId="95" fillId="0" borderId="0" xfId="0" applyFont="1" applyAlignment="1">
      <alignment horizontal="left" vertical="center"/>
    </xf>
    <xf numFmtId="0" fontId="55" fillId="0" borderId="0" xfId="0" applyFont="1"/>
    <xf numFmtId="0" fontId="9" fillId="0" borderId="0" xfId="0" applyFont="1"/>
    <xf numFmtId="0" fontId="13" fillId="0" borderId="0" xfId="0" applyFont="1"/>
    <xf numFmtId="2" fontId="13" fillId="0" borderId="0" xfId="36" applyNumberFormat="1" applyFont="1">
      <alignment vertical="top"/>
    </xf>
    <xf numFmtId="0" fontId="96" fillId="0" borderId="0" xfId="0" applyFont="1" applyAlignment="1">
      <alignment horizontal="center" vertical="center"/>
    </xf>
    <xf numFmtId="4" fontId="96" fillId="0" borderId="0" xfId="0" applyNumberFormat="1" applyFont="1" applyAlignment="1">
      <alignment horizontal="center" vertical="center"/>
    </xf>
    <xf numFmtId="4" fontId="100" fillId="0" borderId="0" xfId="0" applyNumberFormat="1" applyFont="1" applyAlignment="1">
      <alignment vertical="center"/>
    </xf>
    <xf numFmtId="0" fontId="14" fillId="0" borderId="7" xfId="37" applyFont="1" applyBorder="1" applyAlignment="1">
      <alignment horizontal="justify" vertical="top" wrapText="1"/>
    </xf>
    <xf numFmtId="0" fontId="17" fillId="0" borderId="7" xfId="0" applyFont="1" applyBorder="1" applyAlignment="1">
      <alignment horizontal="center" vertical="center" wrapText="1"/>
    </xf>
    <xf numFmtId="4" fontId="12" fillId="0" borderId="0" xfId="0" applyNumberFormat="1" applyFont="1"/>
    <xf numFmtId="0" fontId="9" fillId="0" borderId="0" xfId="35" applyAlignment="1">
      <alignment horizontal="center" vertical="center"/>
    </xf>
    <xf numFmtId="0" fontId="101" fillId="0" borderId="0" xfId="35" applyFont="1"/>
    <xf numFmtId="4" fontId="42" fillId="0" borderId="0" xfId="0" applyNumberFormat="1" applyFont="1" applyAlignment="1">
      <alignment horizontal="left" vertical="center"/>
    </xf>
    <xf numFmtId="4" fontId="44" fillId="26" borderId="0" xfId="0" applyNumberFormat="1" applyFont="1" applyFill="1" applyAlignment="1">
      <alignment horizontal="center" vertical="center" wrapText="1"/>
    </xf>
    <xf numFmtId="0" fontId="9" fillId="27" borderId="0" xfId="35" applyFill="1"/>
    <xf numFmtId="0" fontId="50" fillId="0" borderId="7" xfId="39" applyFont="1" applyBorder="1" applyAlignment="1">
      <alignment horizontal="center" vertical="center" wrapText="1"/>
    </xf>
    <xf numFmtId="0" fontId="50" fillId="0" borderId="0" xfId="39" applyFont="1" applyAlignment="1">
      <alignment wrapText="1"/>
    </xf>
    <xf numFmtId="0" fontId="102" fillId="0" borderId="0" xfId="0" applyFont="1"/>
    <xf numFmtId="0" fontId="45" fillId="0" borderId="0" xfId="0" applyFont="1"/>
    <xf numFmtId="0" fontId="32" fillId="0" borderId="0" xfId="35" applyFont="1" applyAlignment="1">
      <alignment horizontal="center" vertical="center" wrapText="1"/>
    </xf>
    <xf numFmtId="4" fontId="33" fillId="0" borderId="0" xfId="35" applyNumberFormat="1" applyFont="1" applyAlignment="1">
      <alignment horizontal="center" vertical="center"/>
    </xf>
    <xf numFmtId="0" fontId="103" fillId="0" borderId="0" xfId="0" applyFont="1" applyAlignment="1">
      <alignment vertical="center"/>
    </xf>
    <xf numFmtId="4" fontId="104" fillId="0" borderId="0" xfId="0" applyNumberFormat="1" applyFont="1" applyAlignment="1">
      <alignment vertical="center"/>
    </xf>
    <xf numFmtId="4" fontId="105" fillId="0" borderId="0" xfId="0" applyNumberFormat="1" applyFont="1" applyAlignment="1">
      <alignment vertical="center"/>
    </xf>
    <xf numFmtId="0" fontId="105" fillId="0" borderId="0" xfId="0" applyFont="1" applyAlignment="1">
      <alignment vertical="center"/>
    </xf>
    <xf numFmtId="4" fontId="103" fillId="0" borderId="0" xfId="0" applyNumberFormat="1" applyFont="1" applyAlignment="1">
      <alignment vertical="center"/>
    </xf>
    <xf numFmtId="0" fontId="104" fillId="0" borderId="0" xfId="0" applyFont="1" applyAlignment="1">
      <alignment vertical="center"/>
    </xf>
    <xf numFmtId="0" fontId="53" fillId="0" borderId="0" xfId="35" applyFont="1"/>
    <xf numFmtId="0" fontId="97" fillId="0" borderId="0" xfId="0" applyFont="1" applyAlignment="1">
      <alignment horizontal="center" vertical="center"/>
    </xf>
    <xf numFmtId="4" fontId="97" fillId="0" borderId="0" xfId="0" applyNumberFormat="1" applyFont="1" applyAlignment="1">
      <alignment horizontal="center" vertical="center"/>
    </xf>
    <xf numFmtId="4" fontId="97" fillId="0" borderId="0" xfId="0" applyNumberFormat="1" applyFont="1" applyAlignment="1">
      <alignment horizontal="left" vertical="center"/>
    </xf>
    <xf numFmtId="2" fontId="16" fillId="0" borderId="0" xfId="36" applyNumberFormat="1" applyFont="1">
      <alignment vertical="top"/>
    </xf>
    <xf numFmtId="0" fontId="16" fillId="0" borderId="0" xfId="36" applyFont="1">
      <alignment vertical="top"/>
    </xf>
    <xf numFmtId="0" fontId="13" fillId="0" borderId="0" xfId="39" applyFont="1"/>
    <xf numFmtId="0" fontId="63" fillId="0" borderId="7" xfId="39" applyFont="1" applyBorder="1" applyAlignment="1">
      <alignment vertical="center" wrapText="1"/>
    </xf>
    <xf numFmtId="0" fontId="40" fillId="0" borderId="0" xfId="0" applyFont="1" applyAlignment="1">
      <alignment horizontal="right"/>
    </xf>
    <xf numFmtId="0" fontId="100" fillId="0" borderId="0" xfId="0" applyFont="1" applyAlignment="1">
      <alignment vertical="center"/>
    </xf>
    <xf numFmtId="4" fontId="46" fillId="27" borderId="9" xfId="0" applyNumberFormat="1" applyFont="1" applyFill="1" applyBorder="1" applyAlignment="1">
      <alignment horizontal="center" vertical="center" wrapText="1"/>
    </xf>
    <xf numFmtId="0" fontId="107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0" fillId="0" borderId="0" xfId="0" applyFont="1" applyAlignment="1">
      <alignment horizontal="center"/>
    </xf>
    <xf numFmtId="0" fontId="62" fillId="0" borderId="7" xfId="0" applyFont="1" applyBorder="1" applyAlignment="1">
      <alignment horizontal="center" vertical="center" wrapText="1"/>
    </xf>
    <xf numFmtId="0" fontId="7" fillId="0" borderId="0" xfId="0" applyFont="1"/>
    <xf numFmtId="4" fontId="7" fillId="0" borderId="0" xfId="0" applyNumberFormat="1" applyFont="1"/>
    <xf numFmtId="4" fontId="9" fillId="0" borderId="7" xfId="0" applyNumberFormat="1" applyFont="1" applyBorder="1" applyAlignment="1">
      <alignment horizontal="center" vertical="center" wrapText="1"/>
    </xf>
    <xf numFmtId="0" fontId="110" fillId="0" borderId="0" xfId="0" applyFont="1"/>
    <xf numFmtId="0" fontId="110" fillId="0" borderId="0" xfId="36" applyFont="1">
      <alignment vertical="top"/>
    </xf>
    <xf numFmtId="0" fontId="110" fillId="0" borderId="0" xfId="35" applyFont="1"/>
    <xf numFmtId="0" fontId="45" fillId="0" borderId="0" xfId="36" applyFont="1">
      <alignment vertical="top"/>
    </xf>
    <xf numFmtId="0" fontId="45" fillId="0" borderId="0" xfId="35" applyFont="1"/>
    <xf numFmtId="0" fontId="32" fillId="0" borderId="0" xfId="35" applyFont="1"/>
    <xf numFmtId="164" fontId="35" fillId="0" borderId="0" xfId="30" applyNumberFormat="1" applyFont="1" applyAlignment="1">
      <alignment horizontal="center" vertical="center" wrapText="1"/>
    </xf>
    <xf numFmtId="0" fontId="9" fillId="28" borderId="0" xfId="35" applyFill="1"/>
    <xf numFmtId="4" fontId="45" fillId="0" borderId="0" xfId="0" applyNumberFormat="1" applyFont="1" applyAlignment="1">
      <alignment horizontal="center" vertical="center" wrapText="1"/>
    </xf>
    <xf numFmtId="4" fontId="46" fillId="27" borderId="21" xfId="0" applyNumberFormat="1" applyFont="1" applyFill="1" applyBorder="1" applyAlignment="1">
      <alignment horizontal="center" vertical="center" wrapText="1"/>
    </xf>
    <xf numFmtId="4" fontId="107" fillId="0" borderId="0" xfId="0" applyNumberFormat="1" applyFont="1" applyAlignment="1">
      <alignment horizontal="center" vertical="center"/>
    </xf>
    <xf numFmtId="4" fontId="112" fillId="0" borderId="0" xfId="0" applyNumberFormat="1" applyFont="1" applyAlignment="1">
      <alignment horizontal="center" vertical="center" wrapText="1"/>
    </xf>
    <xf numFmtId="49" fontId="42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2" fillId="0" borderId="0" xfId="0" applyFont="1" applyFill="1"/>
    <xf numFmtId="4" fontId="79" fillId="0" borderId="0" xfId="0" applyNumberFormat="1" applyFont="1" applyFill="1" applyAlignment="1">
      <alignment horizontal="left" vertical="center"/>
    </xf>
    <xf numFmtId="0" fontId="0" fillId="0" borderId="0" xfId="0" applyFill="1"/>
    <xf numFmtId="4" fontId="111" fillId="0" borderId="0" xfId="0" applyNumberFormat="1" applyFont="1" applyFill="1" applyAlignment="1">
      <alignment horizontal="center" vertical="center"/>
    </xf>
    <xf numFmtId="0" fontId="55" fillId="0" borderId="0" xfId="0" applyFont="1" applyFill="1"/>
    <xf numFmtId="4" fontId="47" fillId="0" borderId="0" xfId="0" applyNumberFormat="1" applyFont="1" applyFill="1"/>
    <xf numFmtId="0" fontId="80" fillId="0" borderId="0" xfId="0" applyFont="1" applyFill="1"/>
    <xf numFmtId="4" fontId="44" fillId="0" borderId="0" xfId="0" applyNumberFormat="1" applyFont="1" applyFill="1" applyAlignment="1">
      <alignment horizontal="center" vertical="center" wrapText="1"/>
    </xf>
    <xf numFmtId="4" fontId="44" fillId="0" borderId="0" xfId="0" applyNumberFormat="1" applyFont="1" applyFill="1" applyAlignment="1">
      <alignment horizontal="left" vertical="center" wrapText="1"/>
    </xf>
    <xf numFmtId="4" fontId="92" fillId="0" borderId="0" xfId="0" applyNumberFormat="1" applyFont="1" applyFill="1" applyAlignment="1">
      <alignment vertical="center"/>
    </xf>
    <xf numFmtId="0" fontId="45" fillId="0" borderId="0" xfId="0" applyFont="1" applyFill="1"/>
    <xf numFmtId="4" fontId="112" fillId="0" borderId="0" xfId="0" applyNumberFormat="1" applyFont="1" applyFill="1" applyAlignment="1">
      <alignment vertical="center"/>
    </xf>
    <xf numFmtId="4" fontId="42" fillId="0" borderId="0" xfId="0" applyNumberFormat="1" applyFont="1" applyFill="1" applyAlignment="1">
      <alignment horizontal="center" vertical="center"/>
    </xf>
    <xf numFmtId="0" fontId="93" fillId="0" borderId="0" xfId="0" applyFont="1" applyFill="1" applyAlignment="1">
      <alignment horizontal="left" vertical="center"/>
    </xf>
    <xf numFmtId="0" fontId="95" fillId="0" borderId="0" xfId="0" applyFont="1" applyFill="1" applyAlignment="1">
      <alignment horizontal="left" vertical="center"/>
    </xf>
    <xf numFmtId="0" fontId="42" fillId="0" borderId="0" xfId="0" applyFont="1" applyFill="1" applyAlignment="1">
      <alignment vertical="center"/>
    </xf>
    <xf numFmtId="0" fontId="47" fillId="0" borderId="0" xfId="0" applyFont="1" applyFill="1"/>
    <xf numFmtId="0" fontId="10" fillId="0" borderId="0" xfId="0" applyFont="1" applyFill="1" applyAlignment="1">
      <alignment vertical="center"/>
    </xf>
    <xf numFmtId="4" fontId="59" fillId="0" borderId="0" xfId="0" applyNumberFormat="1" applyFont="1" applyFill="1" applyAlignment="1">
      <alignment vertical="center"/>
    </xf>
    <xf numFmtId="4" fontId="10" fillId="0" borderId="0" xfId="0" applyNumberFormat="1" applyFont="1" applyFill="1" applyAlignment="1">
      <alignment vertical="center"/>
    </xf>
    <xf numFmtId="2" fontId="14" fillId="0" borderId="0" xfId="38" applyNumberFormat="1" applyFont="1" applyFill="1" applyAlignment="1" applyProtection="1">
      <alignment vertical="center" wrapText="1"/>
      <protection locked="0"/>
    </xf>
    <xf numFmtId="4" fontId="100" fillId="0" borderId="0" xfId="0" applyNumberFormat="1" applyFont="1" applyFill="1" applyAlignment="1">
      <alignment vertical="center"/>
    </xf>
    <xf numFmtId="4" fontId="57" fillId="0" borderId="0" xfId="0" applyNumberFormat="1" applyFont="1" applyFill="1" applyAlignment="1">
      <alignment vertical="center"/>
    </xf>
    <xf numFmtId="4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4" fontId="91" fillId="0" borderId="0" xfId="0" applyNumberFormat="1" applyFont="1" applyFill="1" applyAlignment="1">
      <alignment vertical="center"/>
    </xf>
    <xf numFmtId="167" fontId="100" fillId="0" borderId="0" xfId="0" applyNumberFormat="1" applyFont="1" applyFill="1" applyAlignment="1">
      <alignment vertical="center"/>
    </xf>
    <xf numFmtId="0" fontId="90" fillId="0" borderId="0" xfId="0" applyFont="1" applyFill="1" applyAlignment="1">
      <alignment vertical="center"/>
    </xf>
    <xf numFmtId="2" fontId="108" fillId="0" borderId="0" xfId="0" applyNumberFormat="1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right" vertical="center" wrapText="1"/>
    </xf>
    <xf numFmtId="164" fontId="10" fillId="0" borderId="0" xfId="0" applyNumberFormat="1" applyFont="1" applyFill="1" applyAlignment="1">
      <alignment horizontal="right" vertical="center" wrapText="1"/>
    </xf>
    <xf numFmtId="0" fontId="42" fillId="0" borderId="0" xfId="0" applyFont="1" applyFill="1" applyAlignment="1">
      <alignment horizontal="right" vertical="center"/>
    </xf>
    <xf numFmtId="4" fontId="42" fillId="0" borderId="0" xfId="0" applyNumberFormat="1" applyFont="1" applyFill="1" applyAlignment="1">
      <alignment horizontal="left" vertical="center"/>
    </xf>
    <xf numFmtId="0" fontId="100" fillId="0" borderId="0" xfId="0" applyFont="1" applyFill="1" applyAlignment="1">
      <alignment vertical="center"/>
    </xf>
    <xf numFmtId="2" fontId="15" fillId="0" borderId="0" xfId="36" applyNumberFormat="1" applyFont="1" applyAlignment="1">
      <alignment horizontal="center" vertical="top"/>
    </xf>
    <xf numFmtId="0" fontId="69" fillId="0" borderId="0" xfId="36" applyAlignment="1">
      <alignment vertical="center"/>
    </xf>
    <xf numFmtId="0" fontId="13" fillId="0" borderId="0" xfId="36" applyFont="1" applyAlignment="1">
      <alignment horizontal="right" vertical="center"/>
    </xf>
    <xf numFmtId="0" fontId="0" fillId="0" borderId="0" xfId="0"/>
    <xf numFmtId="4" fontId="44" fillId="0" borderId="0" xfId="0" applyNumberFormat="1" applyFont="1" applyFill="1" applyAlignment="1">
      <alignment horizontal="left" vertical="center" wrapText="1"/>
    </xf>
    <xf numFmtId="4" fontId="17" fillId="0" borderId="7" xfId="39" applyNumberFormat="1" applyFont="1" applyBorder="1" applyAlignment="1">
      <alignment horizontal="right" vertical="center" wrapText="1"/>
    </xf>
    <xf numFmtId="4" fontId="9" fillId="0" borderId="7" xfId="39" applyNumberFormat="1" applyFont="1" applyBorder="1" applyAlignment="1">
      <alignment horizontal="right" vertical="center" wrapText="1"/>
    </xf>
    <xf numFmtId="0" fontId="0" fillId="0" borderId="0" xfId="0"/>
    <xf numFmtId="4" fontId="44" fillId="0" borderId="0" xfId="0" applyNumberFormat="1" applyFont="1" applyFill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4" fontId="41" fillId="31" borderId="7" xfId="36" applyNumberFormat="1" applyFont="1" applyFill="1" applyBorder="1" applyAlignment="1">
      <alignment horizontal="center" vertical="center" wrapText="1"/>
    </xf>
    <xf numFmtId="4" fontId="41" fillId="0" borderId="0" xfId="0" applyNumberFormat="1" applyFont="1" applyFill="1" applyAlignment="1">
      <alignment horizontal="left" vertical="center"/>
    </xf>
    <xf numFmtId="0" fontId="17" fillId="0" borderId="0" xfId="0" applyFont="1" applyFill="1"/>
    <xf numFmtId="0" fontId="0" fillId="0" borderId="0" xfId="0" applyFont="1"/>
    <xf numFmtId="0" fontId="114" fillId="0" borderId="0" xfId="0" applyFont="1"/>
    <xf numFmtId="0" fontId="42" fillId="0" borderId="0" xfId="38" applyFont="1" applyFill="1" applyBorder="1" applyAlignment="1" applyProtection="1">
      <alignment horizontal="center" vertical="center" wrapText="1"/>
      <protection locked="0"/>
    </xf>
    <xf numFmtId="166" fontId="58" fillId="0" borderId="0" xfId="0" applyNumberFormat="1" applyFont="1" applyFill="1" applyAlignment="1">
      <alignment vertical="center"/>
    </xf>
    <xf numFmtId="0" fontId="14" fillId="0" borderId="7" xfId="39" applyFont="1" applyBorder="1" applyAlignment="1">
      <alignment horizontal="center" vertical="center" wrapText="1"/>
    </xf>
    <xf numFmtId="0" fontId="0" fillId="0" borderId="0" xfId="0"/>
    <xf numFmtId="0" fontId="60" fillId="0" borderId="0" xfId="39" applyFont="1" applyAlignment="1">
      <alignment horizontal="center" vertical="center"/>
    </xf>
    <xf numFmtId="0" fontId="14" fillId="0" borderId="0" xfId="39" applyFont="1" applyAlignment="1">
      <alignment horizontal="center" vertical="center"/>
    </xf>
    <xf numFmtId="0" fontId="0" fillId="0" borderId="0" xfId="0"/>
    <xf numFmtId="0" fontId="70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1" fillId="0" borderId="0" xfId="0" applyFont="1" applyAlignment="1">
      <alignment horizontal="center" vertical="center"/>
    </xf>
    <xf numFmtId="0" fontId="72" fillId="0" borderId="0" xfId="35" applyFont="1"/>
    <xf numFmtId="0" fontId="15" fillId="0" borderId="0" xfId="35" applyFont="1" applyAlignment="1">
      <alignment horizontal="center" vertical="center" wrapText="1"/>
    </xf>
    <xf numFmtId="0" fontId="74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69" fillId="0" borderId="0" xfId="36">
      <alignment vertical="top"/>
    </xf>
    <xf numFmtId="0" fontId="74" fillId="0" borderId="0" xfId="36" applyFont="1" applyAlignment="1">
      <alignment horizontal="center" vertical="center"/>
    </xf>
    <xf numFmtId="0" fontId="7" fillId="0" borderId="0" xfId="0" applyFont="1" applyAlignment="1">
      <alignment horizontal="left"/>
    </xf>
    <xf numFmtId="0" fontId="41" fillId="0" borderId="22" xfId="0" applyFont="1" applyBorder="1" applyAlignment="1">
      <alignment horizontal="center" vertical="top" wrapText="1"/>
    </xf>
    <xf numFmtId="49" fontId="41" fillId="0" borderId="22" xfId="0" applyNumberFormat="1" applyFont="1" applyBorder="1" applyAlignment="1">
      <alignment horizontal="center" vertical="center" wrapText="1"/>
    </xf>
    <xf numFmtId="0" fontId="41" fillId="30" borderId="22" xfId="0" applyFont="1" applyFill="1" applyBorder="1" applyAlignment="1">
      <alignment horizontal="center" vertical="center"/>
    </xf>
    <xf numFmtId="0" fontId="41" fillId="30" borderId="22" xfId="0" applyFont="1" applyFill="1" applyBorder="1" applyAlignment="1">
      <alignment horizontal="left" vertical="center"/>
    </xf>
    <xf numFmtId="4" fontId="44" fillId="30" borderId="22" xfId="0" applyNumberFormat="1" applyFont="1" applyFill="1" applyBorder="1" applyAlignment="1">
      <alignment horizontal="center" vertical="center"/>
    </xf>
    <xf numFmtId="0" fontId="9" fillId="0" borderId="0" xfId="35" applyBorder="1" applyAlignment="1">
      <alignment horizontal="right" vertical="center"/>
    </xf>
    <xf numFmtId="0" fontId="106" fillId="0" borderId="22" xfId="35" applyFont="1" applyBorder="1" applyAlignment="1">
      <alignment horizontal="center" vertical="top" wrapText="1"/>
    </xf>
    <xf numFmtId="0" fontId="17" fillId="0" borderId="22" xfId="35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33" fillId="30" borderId="22" xfId="0" applyFont="1" applyFill="1" applyBorder="1" applyAlignment="1">
      <alignment horizontal="center" vertical="center"/>
    </xf>
    <xf numFmtId="0" fontId="33" fillId="30" borderId="22" xfId="0" applyFont="1" applyFill="1" applyBorder="1" applyAlignment="1">
      <alignment horizontal="left" vertical="center"/>
    </xf>
    <xf numFmtId="4" fontId="33" fillId="30" borderId="22" xfId="0" applyNumberFormat="1" applyFont="1" applyFill="1" applyBorder="1" applyAlignment="1">
      <alignment horizontal="center" vertical="center"/>
    </xf>
    <xf numFmtId="0" fontId="125" fillId="0" borderId="0" xfId="36" applyFont="1">
      <alignment vertical="top"/>
    </xf>
    <xf numFmtId="0" fontId="9" fillId="0" borderId="17" xfId="35" applyBorder="1"/>
    <xf numFmtId="0" fontId="0" fillId="0" borderId="0" xfId="0" applyFont="1" applyBorder="1" applyAlignment="1">
      <alignment horizontal="center" vertical="center"/>
    </xf>
    <xf numFmtId="0" fontId="124" fillId="0" borderId="0" xfId="0" applyFont="1" applyBorder="1" applyAlignment="1">
      <alignment horizontal="center" vertical="center"/>
    </xf>
    <xf numFmtId="0" fontId="123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 vertical="top"/>
    </xf>
    <xf numFmtId="2" fontId="74" fillId="0" borderId="22" xfId="36" applyNumberFormat="1" applyFont="1" applyBorder="1" applyAlignment="1">
      <alignment horizontal="center" vertical="center"/>
    </xf>
    <xf numFmtId="2" fontId="13" fillId="0" borderId="22" xfId="36" applyNumberFormat="1" applyFont="1" applyFill="1" applyBorder="1" applyAlignment="1">
      <alignment horizontal="center" vertical="center" wrapText="1"/>
    </xf>
    <xf numFmtId="4" fontId="13" fillId="0" borderId="22" xfId="36" applyNumberFormat="1" applyFont="1" applyFill="1" applyBorder="1" applyAlignment="1">
      <alignment horizontal="center" vertical="center"/>
    </xf>
    <xf numFmtId="4" fontId="77" fillId="0" borderId="22" xfId="36" applyNumberFormat="1" applyFont="1" applyFill="1" applyBorder="1" applyAlignment="1">
      <alignment horizontal="center" vertical="center" wrapText="1"/>
    </xf>
    <xf numFmtId="2" fontId="13" fillId="0" borderId="22" xfId="36" applyNumberFormat="1" applyFont="1" applyBorder="1" applyAlignment="1">
      <alignment horizontal="center" vertical="center" wrapText="1"/>
    </xf>
    <xf numFmtId="4" fontId="96" fillId="25" borderId="14" xfId="0" applyNumberFormat="1" applyFont="1" applyFill="1" applyBorder="1" applyAlignment="1">
      <alignment horizontal="center" vertical="center"/>
    </xf>
    <xf numFmtId="0" fontId="97" fillId="0" borderId="22" xfId="0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 wrapText="1"/>
    </xf>
    <xf numFmtId="4" fontId="113" fillId="0" borderId="22" xfId="94" applyNumberFormat="1" applyFont="1" applyBorder="1" applyAlignment="1">
      <alignment horizontal="center" vertical="center"/>
    </xf>
    <xf numFmtId="0" fontId="97" fillId="0" borderId="22" xfId="0" applyFont="1" applyBorder="1" applyAlignment="1">
      <alignment horizontal="left" vertical="center" wrapText="1"/>
    </xf>
    <xf numFmtId="4" fontId="97" fillId="0" borderId="22" xfId="0" applyNumberFormat="1" applyFont="1" applyBorder="1" applyAlignment="1">
      <alignment horizontal="center" vertical="center"/>
    </xf>
    <xf numFmtId="4" fontId="74" fillId="30" borderId="22" xfId="36" applyNumberFormat="1" applyFont="1" applyFill="1" applyBorder="1" applyAlignment="1">
      <alignment horizontal="center" vertical="center" wrapText="1"/>
    </xf>
    <xf numFmtId="0" fontId="74" fillId="30" borderId="22" xfId="0" applyFont="1" applyFill="1" applyBorder="1" applyAlignment="1">
      <alignment horizontal="center" vertical="center"/>
    </xf>
    <xf numFmtId="0" fontId="14" fillId="30" borderId="22" xfId="0" applyFont="1" applyFill="1" applyBorder="1" applyAlignment="1">
      <alignment horizontal="center" vertical="center"/>
    </xf>
    <xf numFmtId="2" fontId="14" fillId="30" borderId="22" xfId="36" applyNumberFormat="1" applyFont="1" applyFill="1" applyBorder="1" applyAlignment="1">
      <alignment horizontal="left" vertical="center" wrapText="1"/>
    </xf>
    <xf numFmtId="4" fontId="14" fillId="30" borderId="22" xfId="36" applyNumberFormat="1" applyFont="1" applyFill="1" applyBorder="1" applyAlignment="1">
      <alignment horizontal="center" vertical="center" wrapText="1"/>
    </xf>
    <xf numFmtId="164" fontId="109" fillId="0" borderId="22" xfId="30" applyNumberFormat="1" applyFont="1" applyFill="1" applyBorder="1" applyAlignment="1">
      <alignment horizontal="center" vertical="center" wrapText="1"/>
    </xf>
    <xf numFmtId="4" fontId="42" fillId="0" borderId="22" xfId="38" applyNumberFormat="1" applyFont="1" applyFill="1" applyBorder="1" applyAlignment="1" applyProtection="1">
      <alignment horizontal="center" vertical="center" wrapText="1"/>
      <protection locked="0"/>
    </xf>
    <xf numFmtId="49" fontId="42" fillId="29" borderId="22" xfId="0" applyNumberFormat="1" applyFont="1" applyFill="1" applyBorder="1" applyAlignment="1">
      <alignment horizontal="center" vertical="center" wrapText="1"/>
    </xf>
    <xf numFmtId="4" fontId="41" fillId="29" borderId="22" xfId="0" applyNumberFormat="1" applyFont="1" applyFill="1" applyBorder="1" applyAlignment="1">
      <alignment horizontal="center" vertical="center" wrapText="1"/>
    </xf>
    <xf numFmtId="4" fontId="41" fillId="29" borderId="22" xfId="38" applyNumberFormat="1" applyFont="1" applyFill="1" applyBorder="1" applyAlignment="1" applyProtection="1">
      <alignment horizontal="center" vertical="center" wrapText="1"/>
      <protection locked="0"/>
    </xf>
    <xf numFmtId="4" fontId="42" fillId="29" borderId="22" xfId="38" applyNumberFormat="1" applyFont="1" applyFill="1" applyBorder="1" applyAlignment="1" applyProtection="1">
      <alignment horizontal="center" vertical="center" wrapText="1"/>
      <protection locked="0"/>
    </xf>
    <xf numFmtId="4" fontId="42" fillId="29" borderId="22" xfId="38" applyNumberFormat="1" applyFont="1" applyFill="1" applyBorder="1" applyAlignment="1">
      <alignment horizontal="center" vertical="center" wrapText="1"/>
    </xf>
    <xf numFmtId="4" fontId="41" fillId="30" borderId="22" xfId="0" applyNumberFormat="1" applyFont="1" applyFill="1" applyBorder="1" applyAlignment="1">
      <alignment horizontal="center" vertical="center"/>
    </xf>
    <xf numFmtId="0" fontId="0" fillId="0" borderId="0" xfId="0" applyBorder="1"/>
    <xf numFmtId="0" fontId="96" fillId="0" borderId="22" xfId="0" applyFont="1" applyBorder="1" applyAlignment="1">
      <alignment horizontal="center" vertical="top" wrapText="1"/>
    </xf>
    <xf numFmtId="0" fontId="14" fillId="0" borderId="22" xfId="35" applyFont="1" applyBorder="1" applyAlignment="1">
      <alignment horizontal="center" vertical="top" wrapText="1"/>
    </xf>
    <xf numFmtId="0" fontId="96" fillId="0" borderId="22" xfId="0" applyFont="1" applyBorder="1" applyAlignment="1">
      <alignment horizontal="center" vertical="top"/>
    </xf>
    <xf numFmtId="4" fontId="96" fillId="0" borderId="7" xfId="39" applyNumberFormat="1" applyFont="1" applyBorder="1" applyAlignment="1">
      <alignment vertical="center" wrapText="1"/>
    </xf>
    <xf numFmtId="4" fontId="14" fillId="0" borderId="7" xfId="39" applyNumberFormat="1" applyFont="1" applyBorder="1" applyAlignment="1">
      <alignment horizontal="right" vertical="center" wrapText="1"/>
    </xf>
    <xf numFmtId="49" fontId="42" fillId="32" borderId="22" xfId="0" applyNumberFormat="1" applyFont="1" applyFill="1" applyBorder="1" applyAlignment="1">
      <alignment horizontal="center" vertical="center" wrapText="1"/>
    </xf>
    <xf numFmtId="49" fontId="42" fillId="32" borderId="22" xfId="0" applyNumberFormat="1" applyFont="1" applyFill="1" applyBorder="1" applyAlignment="1">
      <alignment horizontal="center" vertical="center"/>
    </xf>
    <xf numFmtId="4" fontId="44" fillId="32" borderId="0" xfId="0" applyNumberFormat="1" applyFont="1" applyFill="1" applyAlignment="1">
      <alignment horizontal="center" vertical="center" wrapText="1"/>
    </xf>
    <xf numFmtId="4" fontId="44" fillId="32" borderId="0" xfId="0" applyNumberFormat="1" applyFont="1" applyFill="1" applyAlignment="1">
      <alignment horizontal="left" vertical="center" wrapText="1"/>
    </xf>
    <xf numFmtId="0" fontId="0" fillId="32" borderId="0" xfId="0" applyFill="1"/>
    <xf numFmtId="4" fontId="42" fillId="32" borderId="22" xfId="0" applyNumberFormat="1" applyFont="1" applyFill="1" applyBorder="1" applyAlignment="1">
      <alignment horizontal="center" vertical="center" wrapText="1"/>
    </xf>
    <xf numFmtId="4" fontId="41" fillId="32" borderId="22" xfId="0" applyNumberFormat="1" applyFont="1" applyFill="1" applyBorder="1" applyAlignment="1">
      <alignment horizontal="center" vertical="center" wrapText="1"/>
    </xf>
    <xf numFmtId="49" fontId="42" fillId="0" borderId="22" xfId="0" applyNumberFormat="1" applyFont="1" applyFill="1" applyBorder="1" applyAlignment="1">
      <alignment horizontal="center" vertical="center"/>
    </xf>
    <xf numFmtId="0" fontId="72" fillId="0" borderId="0" xfId="35" applyFont="1"/>
    <xf numFmtId="0" fontId="0" fillId="0" borderId="0" xfId="0"/>
    <xf numFmtId="4" fontId="45" fillId="0" borderId="7" xfId="0" applyNumberFormat="1" applyFont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42" fillId="0" borderId="22" xfId="38" applyFont="1" applyFill="1" applyBorder="1" applyAlignment="1" applyProtection="1">
      <alignment horizontal="center" vertical="center" wrapText="1"/>
      <protection locked="0"/>
    </xf>
    <xf numFmtId="4" fontId="45" fillId="0" borderId="22" xfId="38" applyNumberFormat="1" applyFont="1" applyFill="1" applyBorder="1" applyAlignment="1" applyProtection="1">
      <alignment horizontal="center" vertical="center" wrapText="1"/>
      <protection locked="0"/>
    </xf>
    <xf numFmtId="49" fontId="42" fillId="0" borderId="22" xfId="0" applyNumberFormat="1" applyFont="1" applyFill="1" applyBorder="1" applyAlignment="1">
      <alignment horizontal="center" vertical="center" wrapText="1"/>
    </xf>
    <xf numFmtId="0" fontId="42" fillId="0" borderId="0" xfId="38" applyFont="1" applyFill="1" applyBorder="1" applyAlignment="1" applyProtection="1">
      <alignment horizontal="center" wrapText="1"/>
      <protection locked="0"/>
    </xf>
    <xf numFmtId="4" fontId="42" fillId="0" borderId="22" xfId="0" applyNumberFormat="1" applyFont="1" applyFill="1" applyBorder="1" applyAlignment="1">
      <alignment horizontal="center" vertical="center" wrapText="1"/>
    </xf>
    <xf numFmtId="0" fontId="42" fillId="0" borderId="24" xfId="38" applyFont="1" applyFill="1" applyBorder="1" applyAlignment="1" applyProtection="1">
      <alignment horizontal="center" vertical="top" wrapText="1"/>
      <protection locked="0"/>
    </xf>
    <xf numFmtId="0" fontId="42" fillId="0" borderId="23" xfId="38" applyFont="1" applyFill="1" applyBorder="1" applyAlignment="1" applyProtection="1">
      <alignment horizontal="center" wrapText="1"/>
      <protection locked="0"/>
    </xf>
    <xf numFmtId="0" fontId="42" fillId="0" borderId="0" xfId="38" applyFont="1" applyFill="1" applyBorder="1" applyAlignment="1" applyProtection="1">
      <alignment horizontal="center" vertical="top" wrapText="1"/>
      <protection locked="0"/>
    </xf>
    <xf numFmtId="49" fontId="32" fillId="0" borderId="22" xfId="35" applyNumberFormat="1" applyFont="1" applyFill="1" applyBorder="1" applyAlignment="1">
      <alignment horizontal="center" vertical="center" wrapText="1"/>
    </xf>
    <xf numFmtId="0" fontId="32" fillId="0" borderId="22" xfId="35" applyFont="1" applyFill="1" applyBorder="1" applyAlignment="1">
      <alignment horizontal="center" vertical="center" wrapText="1"/>
    </xf>
    <xf numFmtId="4" fontId="32" fillId="0" borderId="22" xfId="35" applyNumberFormat="1" applyFont="1" applyFill="1" applyBorder="1" applyAlignment="1">
      <alignment horizontal="center" vertical="center"/>
    </xf>
    <xf numFmtId="0" fontId="0" fillId="0" borderId="0" xfId="0"/>
    <xf numFmtId="4" fontId="42" fillId="0" borderId="22" xfId="0" applyNumberFormat="1" applyFont="1" applyFill="1" applyBorder="1" applyAlignment="1">
      <alignment horizontal="center" vertical="center" wrapText="1"/>
    </xf>
    <xf numFmtId="49" fontId="42" fillId="0" borderId="22" xfId="0" applyNumberFormat="1" applyFont="1" applyFill="1" applyBorder="1" applyAlignment="1">
      <alignment horizontal="center" vertical="center" wrapText="1"/>
    </xf>
    <xf numFmtId="0" fontId="126" fillId="0" borderId="0" xfId="35" applyFont="1" applyAlignment="1">
      <alignment horizontal="center" vertical="center"/>
    </xf>
    <xf numFmtId="0" fontId="0" fillId="0" borderId="0" xfId="0"/>
    <xf numFmtId="4" fontId="45" fillId="0" borderId="22" xfId="0" applyNumberFormat="1" applyFont="1" applyFill="1" applyBorder="1" applyAlignment="1">
      <alignment horizontal="center" vertical="center"/>
    </xf>
    <xf numFmtId="49" fontId="42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4" fontId="42" fillId="0" borderId="22" xfId="0" applyNumberFormat="1" applyFont="1" applyFill="1" applyBorder="1" applyAlignment="1">
      <alignment horizontal="center" vertical="center" wrapText="1"/>
    </xf>
    <xf numFmtId="0" fontId="109" fillId="0" borderId="22" xfId="0" applyFont="1" applyFill="1" applyBorder="1" applyAlignment="1">
      <alignment horizontal="center" vertical="center" wrapText="1"/>
    </xf>
    <xf numFmtId="4" fontId="42" fillId="0" borderId="22" xfId="38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22" xfId="0" applyNumberFormat="1" applyFont="1" applyFill="1" applyBorder="1" applyAlignment="1">
      <alignment horizontal="center" vertical="center" wrapText="1"/>
    </xf>
    <xf numFmtId="49" fontId="42" fillId="0" borderId="22" xfId="0" applyNumberFormat="1" applyFont="1" applyFill="1" applyBorder="1" applyAlignment="1">
      <alignment horizontal="center" vertical="center" wrapText="1"/>
    </xf>
    <xf numFmtId="4" fontId="42" fillId="0" borderId="7" xfId="0" applyNumberFormat="1" applyFont="1" applyBorder="1" applyAlignment="1">
      <alignment horizontal="center" vertical="center" wrapText="1"/>
    </xf>
    <xf numFmtId="4" fontId="46" fillId="27" borderId="16" xfId="0" applyNumberFormat="1" applyFont="1" applyFill="1" applyBorder="1" applyAlignment="1">
      <alignment horizontal="center" vertical="center" wrapText="1"/>
    </xf>
    <xf numFmtId="0" fontId="9" fillId="0" borderId="0" xfId="35" applyAlignment="1">
      <alignment horizontal="left" vertical="center"/>
    </xf>
    <xf numFmtId="0" fontId="42" fillId="0" borderId="24" xfId="38" applyFont="1" applyFill="1" applyBorder="1" applyAlignment="1" applyProtection="1">
      <alignment horizontal="center" vertical="center" wrapText="1"/>
      <protection locked="0"/>
    </xf>
    <xf numFmtId="0" fontId="47" fillId="0" borderId="22" xfId="0" applyFont="1" applyFill="1" applyBorder="1" applyAlignment="1">
      <alignment horizontal="center" vertical="center" wrapText="1"/>
    </xf>
    <xf numFmtId="0" fontId="113" fillId="0" borderId="22" xfId="94" applyFont="1" applyBorder="1" applyAlignment="1">
      <alignment horizontal="center" vertical="center"/>
    </xf>
    <xf numFmtId="0" fontId="97" fillId="0" borderId="2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0"/>
    <xf numFmtId="4" fontId="42" fillId="0" borderId="22" xfId="0" applyNumberFormat="1" applyFont="1" applyFill="1" applyBorder="1" applyAlignment="1">
      <alignment horizontal="center" vertical="center" wrapText="1"/>
    </xf>
    <xf numFmtId="49" fontId="42" fillId="0" borderId="22" xfId="0" applyNumberFormat="1" applyFont="1" applyFill="1" applyBorder="1" applyAlignment="1">
      <alignment horizontal="center" vertical="center" wrapText="1"/>
    </xf>
    <xf numFmtId="4" fontId="42" fillId="0" borderId="22" xfId="0" applyNumberFormat="1" applyFont="1" applyFill="1" applyBorder="1" applyAlignment="1">
      <alignment horizontal="center" vertical="center" wrapText="1"/>
    </xf>
    <xf numFmtId="49" fontId="42" fillId="0" borderId="22" xfId="0" applyNumberFormat="1" applyFont="1" applyFill="1" applyBorder="1" applyAlignment="1">
      <alignment horizontal="center" vertical="center" wrapText="1"/>
    </xf>
    <xf numFmtId="4" fontId="42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17" fillId="0" borderId="7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0" fillId="0" borderId="0" xfId="0"/>
    <xf numFmtId="49" fontId="42" fillId="0" borderId="22" xfId="0" applyNumberFormat="1" applyFont="1" applyFill="1" applyBorder="1" applyAlignment="1">
      <alignment horizontal="center" vertical="center" wrapText="1"/>
    </xf>
    <xf numFmtId="4" fontId="42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Alignment="1">
      <alignment horizontal="right" vertical="center"/>
    </xf>
    <xf numFmtId="4" fontId="41" fillId="31" borderId="0" xfId="36" applyNumberFormat="1" applyFont="1" applyFill="1" applyBorder="1" applyAlignment="1">
      <alignment horizontal="center" vertical="center" wrapText="1"/>
    </xf>
    <xf numFmtId="0" fontId="109" fillId="0" borderId="22" xfId="0" applyFont="1" applyBorder="1" applyAlignment="1">
      <alignment horizontal="center" vertical="center" wrapText="1"/>
    </xf>
    <xf numFmtId="10" fontId="58" fillId="0" borderId="0" xfId="0" applyNumberFormat="1" applyFont="1" applyAlignment="1">
      <alignment vertical="center"/>
    </xf>
    <xf numFmtId="0" fontId="0" fillId="0" borderId="0" xfId="0"/>
    <xf numFmtId="4" fontId="42" fillId="0" borderId="22" xfId="0" applyNumberFormat="1" applyFont="1" applyFill="1" applyBorder="1" applyAlignment="1">
      <alignment horizontal="center" vertical="center" wrapText="1"/>
    </xf>
    <xf numFmtId="49" fontId="42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49" fontId="42" fillId="0" borderId="2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4" fillId="0" borderId="22" xfId="0" applyNumberFormat="1" applyFont="1" applyFill="1" applyBorder="1" applyAlignment="1">
      <alignment horizontal="center" vertical="center" wrapText="1"/>
    </xf>
    <xf numFmtId="49" fontId="42" fillId="0" borderId="22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32" fillId="0" borderId="0" xfId="35" applyFont="1" applyAlignment="1">
      <alignment horizontal="center" vertical="center" wrapText="1"/>
    </xf>
    <xf numFmtId="0" fontId="15" fillId="0" borderId="0" xfId="35" applyFont="1" applyAlignment="1">
      <alignment horizontal="center" vertical="center" wrapText="1"/>
    </xf>
    <xf numFmtId="0" fontId="48" fillId="0" borderId="0" xfId="35" applyFont="1" applyAlignment="1">
      <alignment horizontal="center" vertical="center" wrapText="1"/>
    </xf>
    <xf numFmtId="49" fontId="42" fillId="33" borderId="22" xfId="0" applyNumberFormat="1" applyFont="1" applyFill="1" applyBorder="1" applyAlignment="1">
      <alignment horizontal="center" vertical="center" wrapText="1"/>
    </xf>
    <xf numFmtId="4" fontId="44" fillId="33" borderId="22" xfId="0" applyNumberFormat="1" applyFont="1" applyFill="1" applyBorder="1" applyAlignment="1">
      <alignment horizontal="center" vertical="center" wrapText="1"/>
    </xf>
    <xf numFmtId="4" fontId="45" fillId="33" borderId="22" xfId="0" applyNumberFormat="1" applyFont="1" applyFill="1" applyBorder="1" applyAlignment="1">
      <alignment horizontal="center" vertical="center"/>
    </xf>
    <xf numFmtId="4" fontId="45" fillId="33" borderId="22" xfId="0" applyNumberFormat="1" applyFont="1" applyFill="1" applyBorder="1" applyAlignment="1">
      <alignment horizontal="center" vertical="center" wrapText="1"/>
    </xf>
    <xf numFmtId="4" fontId="0" fillId="33" borderId="22" xfId="0" applyNumberFormat="1" applyFill="1" applyBorder="1" applyAlignment="1">
      <alignment horizontal="center" vertical="center" wrapText="1"/>
    </xf>
    <xf numFmtId="0" fontId="0" fillId="33" borderId="22" xfId="0" applyFill="1" applyBorder="1" applyAlignment="1">
      <alignment horizontal="center" vertical="center" wrapText="1"/>
    </xf>
    <xf numFmtId="0" fontId="0" fillId="33" borderId="22" xfId="0" applyFill="1" applyBorder="1" applyAlignment="1">
      <alignment horizontal="center" vertical="center"/>
    </xf>
    <xf numFmtId="4" fontId="44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5" fillId="0" borderId="22" xfId="38" applyNumberFormat="1" applyFont="1" applyFill="1" applyBorder="1" applyAlignment="1">
      <alignment horizontal="center" vertical="center" wrapText="1"/>
    </xf>
    <xf numFmtId="4" fontId="44" fillId="0" borderId="22" xfId="38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3" fillId="0" borderId="22" xfId="0" applyFont="1" applyBorder="1" applyAlignment="1">
      <alignment horizontal="center" vertical="top" wrapText="1"/>
    </xf>
    <xf numFmtId="0" fontId="33" fillId="0" borderId="22" xfId="35" applyFont="1" applyBorder="1" applyAlignment="1">
      <alignment horizontal="center" vertical="top" wrapText="1"/>
    </xf>
    <xf numFmtId="4" fontId="9" fillId="0" borderId="0" xfId="35" applyNumberFormat="1" applyAlignment="1">
      <alignment horizontal="left" vertical="center"/>
    </xf>
    <xf numFmtId="4" fontId="32" fillId="32" borderId="22" xfId="0" applyNumberFormat="1" applyFont="1" applyFill="1" applyBorder="1" applyAlignment="1">
      <alignment horizontal="center" vertical="center" wrapText="1"/>
    </xf>
    <xf numFmtId="0" fontId="129" fillId="0" borderId="0" xfId="35" applyFont="1" applyAlignment="1">
      <alignment vertical="center"/>
    </xf>
    <xf numFmtId="4" fontId="33" fillId="30" borderId="22" xfId="0" applyNumberFormat="1" applyFont="1" applyFill="1" applyBorder="1" applyAlignment="1">
      <alignment horizontal="left" vertical="center"/>
    </xf>
    <xf numFmtId="0" fontId="9" fillId="32" borderId="0" xfId="35" applyFill="1" applyAlignment="1">
      <alignment horizontal="center" vertical="center"/>
    </xf>
    <xf numFmtId="0" fontId="45" fillId="32" borderId="0" xfId="35" applyFont="1" applyFill="1" applyAlignment="1">
      <alignment horizontal="center" vertical="center"/>
    </xf>
    <xf numFmtId="49" fontId="32" fillId="32" borderId="22" xfId="0" applyNumberFormat="1" applyFont="1" applyFill="1" applyBorder="1" applyAlignment="1">
      <alignment horizontal="center" vertical="center" wrapText="1"/>
    </xf>
    <xf numFmtId="0" fontId="32" fillId="32" borderId="22" xfId="18" applyFont="1" applyFill="1" applyBorder="1" applyAlignment="1">
      <alignment horizontal="center" vertical="center" wrapText="1"/>
    </xf>
    <xf numFmtId="0" fontId="33" fillId="32" borderId="22" xfId="35" applyFont="1" applyFill="1" applyBorder="1" applyAlignment="1">
      <alignment horizontal="center" vertical="center" wrapText="1"/>
    </xf>
    <xf numFmtId="4" fontId="33" fillId="32" borderId="22" xfId="35" applyNumberFormat="1" applyFont="1" applyFill="1" applyBorder="1" applyAlignment="1">
      <alignment horizontal="center" vertical="center" wrapText="1"/>
    </xf>
    <xf numFmtId="164" fontId="32" fillId="32" borderId="22" xfId="30" applyNumberFormat="1" applyFont="1" applyFill="1" applyBorder="1" applyAlignment="1">
      <alignment horizontal="center" vertical="center"/>
    </xf>
    <xf numFmtId="4" fontId="35" fillId="32" borderId="22" xfId="30" applyNumberFormat="1" applyFont="1" applyFill="1" applyBorder="1" applyAlignment="1">
      <alignment horizontal="center" vertical="center"/>
    </xf>
    <xf numFmtId="9" fontId="32" fillId="32" borderId="22" xfId="0" applyNumberFormat="1" applyFont="1" applyFill="1" applyBorder="1" applyAlignment="1">
      <alignment horizontal="center" vertical="center" wrapText="1"/>
    </xf>
    <xf numFmtId="164" fontId="35" fillId="32" borderId="22" xfId="30" applyNumberFormat="1" applyFont="1" applyFill="1" applyBorder="1" applyAlignment="1">
      <alignment horizontal="center" vertical="center"/>
    </xf>
    <xf numFmtId="164" fontId="35" fillId="32" borderId="22" xfId="30" applyNumberFormat="1" applyFont="1" applyFill="1" applyBorder="1" applyAlignment="1">
      <alignment horizontal="center" vertical="center" wrapText="1"/>
    </xf>
    <xf numFmtId="0" fontId="32" fillId="32" borderId="22" xfId="98" applyFont="1" applyFill="1" applyBorder="1" applyAlignment="1">
      <alignment horizontal="center" vertical="center" wrapText="1"/>
    </xf>
    <xf numFmtId="4" fontId="56" fillId="32" borderId="22" xfId="0" applyNumberFormat="1" applyFont="1" applyFill="1" applyBorder="1" applyAlignment="1">
      <alignment horizontal="center" vertical="center" wrapText="1"/>
    </xf>
    <xf numFmtId="0" fontId="56" fillId="32" borderId="22" xfId="0" applyFont="1" applyFill="1" applyBorder="1" applyAlignment="1">
      <alignment horizontal="center" vertical="center" wrapText="1"/>
    </xf>
    <xf numFmtId="49" fontId="32" fillId="0" borderId="22" xfId="0" applyNumberFormat="1" applyFont="1" applyFill="1" applyBorder="1" applyAlignment="1">
      <alignment horizontal="center" vertical="center" wrapText="1"/>
    </xf>
    <xf numFmtId="0" fontId="32" fillId="0" borderId="22" xfId="18" applyFont="1" applyFill="1" applyBorder="1" applyAlignment="1">
      <alignment horizontal="center" vertical="center" wrapText="1"/>
    </xf>
    <xf numFmtId="0" fontId="33" fillId="0" borderId="22" xfId="35" applyFont="1" applyFill="1" applyBorder="1" applyAlignment="1">
      <alignment horizontal="center" vertical="center" wrapText="1"/>
    </xf>
    <xf numFmtId="4" fontId="33" fillId="0" borderId="22" xfId="35" applyNumberFormat="1" applyFont="1" applyFill="1" applyBorder="1" applyAlignment="1">
      <alignment horizontal="center" vertical="center" wrapText="1"/>
    </xf>
    <xf numFmtId="4" fontId="32" fillId="0" borderId="22" xfId="0" applyNumberFormat="1" applyFont="1" applyFill="1" applyBorder="1" applyAlignment="1">
      <alignment horizontal="center" vertical="center" wrapText="1"/>
    </xf>
    <xf numFmtId="164" fontId="32" fillId="0" borderId="22" xfId="30" applyNumberFormat="1" applyFont="1" applyFill="1" applyBorder="1" applyAlignment="1">
      <alignment horizontal="center" vertical="center"/>
    </xf>
    <xf numFmtId="4" fontId="35" fillId="0" borderId="22" xfId="30" applyNumberFormat="1" applyFont="1" applyFill="1" applyBorder="1" applyAlignment="1">
      <alignment horizontal="center" vertical="center"/>
    </xf>
    <xf numFmtId="9" fontId="32" fillId="0" borderId="22" xfId="0" applyNumberFormat="1" applyFont="1" applyFill="1" applyBorder="1" applyAlignment="1">
      <alignment horizontal="center" vertical="center" wrapText="1"/>
    </xf>
    <xf numFmtId="164" fontId="35" fillId="0" borderId="22" xfId="30" applyNumberFormat="1" applyFont="1" applyFill="1" applyBorder="1" applyAlignment="1">
      <alignment horizontal="center" vertical="center"/>
    </xf>
    <xf numFmtId="4" fontId="32" fillId="0" borderId="22" xfId="30" applyNumberFormat="1" applyFont="1" applyFill="1" applyBorder="1" applyAlignment="1">
      <alignment horizontal="center" vertical="center"/>
    </xf>
    <xf numFmtId="164" fontId="35" fillId="0" borderId="22" xfId="30" applyNumberFormat="1" applyFont="1" applyFill="1" applyBorder="1" applyAlignment="1">
      <alignment horizontal="center" vertical="center" wrapText="1"/>
    </xf>
    <xf numFmtId="0" fontId="9" fillId="0" borderId="0" xfId="35" applyFill="1"/>
    <xf numFmtId="0" fontId="32" fillId="0" borderId="22" xfId="38" applyFont="1" applyFill="1" applyBorder="1" applyAlignment="1" applyProtection="1">
      <alignment horizontal="center" vertical="center" wrapText="1"/>
      <protection locked="0"/>
    </xf>
    <xf numFmtId="0" fontId="33" fillId="0" borderId="22" xfId="38" applyFont="1" applyFill="1" applyBorder="1" applyAlignment="1" applyProtection="1">
      <alignment horizontal="center" vertical="center" wrapText="1"/>
      <protection locked="0"/>
    </xf>
    <xf numFmtId="4" fontId="32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32" fillId="0" borderId="22" xfId="98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4" fontId="56" fillId="0" borderId="22" xfId="0" applyNumberFormat="1" applyFont="1" applyFill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 wrapText="1"/>
    </xf>
    <xf numFmtId="164" fontId="32" fillId="0" borderId="22" xfId="0" applyNumberFormat="1" applyFont="1" applyFill="1" applyBorder="1" applyAlignment="1">
      <alignment horizontal="center" vertical="center" wrapText="1"/>
    </xf>
    <xf numFmtId="9" fontId="32" fillId="0" borderId="22" xfId="30" applyNumberFormat="1" applyFont="1" applyFill="1" applyBorder="1" applyAlignment="1">
      <alignment horizontal="center" vertical="center"/>
    </xf>
    <xf numFmtId="9" fontId="35" fillId="0" borderId="22" xfId="30" applyNumberFormat="1" applyFont="1" applyFill="1" applyBorder="1" applyAlignment="1">
      <alignment horizontal="center" vertical="center"/>
    </xf>
    <xf numFmtId="0" fontId="101" fillId="0" borderId="0" xfId="35" applyFont="1" applyFill="1"/>
    <xf numFmtId="2" fontId="13" fillId="0" borderId="22" xfId="36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4" fontId="42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2" fillId="0" borderId="22" xfId="0" applyNumberFormat="1" applyFont="1" applyFill="1" applyBorder="1" applyAlignment="1">
      <alignment horizontal="center" vertical="center" wrapText="1"/>
    </xf>
    <xf numFmtId="2" fontId="13" fillId="0" borderId="22" xfId="36" applyNumberFormat="1" applyFont="1" applyFill="1" applyBorder="1" applyAlignment="1">
      <alignment horizontal="center" vertical="center" wrapText="1"/>
    </xf>
    <xf numFmtId="4" fontId="42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22" xfId="0" applyNumberFormat="1" applyFont="1" applyFill="1" applyBorder="1" applyAlignment="1">
      <alignment horizontal="center" vertical="center" wrapText="1"/>
    </xf>
    <xf numFmtId="4" fontId="42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32" fillId="0" borderId="22" xfId="18" applyFont="1" applyBorder="1" applyAlignment="1">
      <alignment horizontal="center" vertical="center" wrapText="1"/>
    </xf>
    <xf numFmtId="4" fontId="45" fillId="0" borderId="7" xfId="0" applyNumberFormat="1" applyFont="1" applyFill="1" applyBorder="1" applyAlignment="1">
      <alignment horizontal="center" vertical="center" wrapText="1"/>
    </xf>
    <xf numFmtId="49" fontId="43" fillId="34" borderId="22" xfId="0" applyNumberFormat="1" applyFont="1" applyFill="1" applyBorder="1" applyAlignment="1">
      <alignment horizontal="center" vertical="center" wrapText="1"/>
    </xf>
    <xf numFmtId="0" fontId="43" fillId="34" borderId="22" xfId="38" applyFont="1" applyFill="1" applyBorder="1" applyAlignment="1" applyProtection="1">
      <alignment horizontal="center" vertical="center" wrapText="1"/>
      <protection locked="0"/>
    </xf>
    <xf numFmtId="4" fontId="43" fillId="34" borderId="22" xfId="38" applyNumberFormat="1" applyFont="1" applyFill="1" applyBorder="1" applyAlignment="1" applyProtection="1">
      <alignment horizontal="center" vertical="center" wrapText="1"/>
      <protection locked="0"/>
    </xf>
    <xf numFmtId="4" fontId="43" fillId="34" borderId="22" xfId="0" applyNumberFormat="1" applyFont="1" applyFill="1" applyBorder="1" applyAlignment="1">
      <alignment horizontal="center" vertical="center" wrapText="1"/>
    </xf>
    <xf numFmtId="49" fontId="41" fillId="35" borderId="22" xfId="0" applyNumberFormat="1" applyFont="1" applyFill="1" applyBorder="1" applyAlignment="1">
      <alignment horizontal="center" vertical="center" wrapText="1"/>
    </xf>
    <xf numFmtId="0" fontId="41" fillId="35" borderId="22" xfId="38" applyFont="1" applyFill="1" applyBorder="1" applyAlignment="1" applyProtection="1">
      <alignment horizontal="center" vertical="center" wrapText="1"/>
      <protection locked="0"/>
    </xf>
    <xf numFmtId="4" fontId="41" fillId="35" borderId="22" xfId="38" applyNumberFormat="1" applyFont="1" applyFill="1" applyBorder="1" applyAlignment="1" applyProtection="1">
      <alignment horizontal="center" vertical="center" wrapText="1"/>
      <protection locked="0"/>
    </xf>
    <xf numFmtId="4" fontId="41" fillId="35" borderId="22" xfId="0" applyNumberFormat="1" applyFont="1" applyFill="1" applyBorder="1" applyAlignment="1">
      <alignment horizontal="center" vertical="center" wrapText="1"/>
    </xf>
    <xf numFmtId="49" fontId="50" fillId="34" borderId="22" xfId="0" applyNumberFormat="1" applyFont="1" applyFill="1" applyBorder="1" applyAlignment="1">
      <alignment horizontal="center" vertical="center" wrapText="1"/>
    </xf>
    <xf numFmtId="0" fontId="50" fillId="34" borderId="22" xfId="38" applyFont="1" applyFill="1" applyBorder="1" applyAlignment="1" applyProtection="1">
      <alignment horizontal="center" vertical="center" wrapText="1"/>
      <protection locked="0"/>
    </xf>
    <xf numFmtId="4" fontId="50" fillId="34" borderId="22" xfId="0" applyNumberFormat="1" applyFont="1" applyFill="1" applyBorder="1" applyAlignment="1">
      <alignment horizontal="center" vertical="center" wrapText="1"/>
    </xf>
    <xf numFmtId="49" fontId="33" fillId="35" borderId="22" xfId="0" applyNumberFormat="1" applyFont="1" applyFill="1" applyBorder="1" applyAlignment="1">
      <alignment horizontal="center" vertical="center" wrapText="1"/>
    </xf>
    <xf numFmtId="0" fontId="33" fillId="35" borderId="22" xfId="38" applyFont="1" applyFill="1" applyBorder="1" applyAlignment="1" applyProtection="1">
      <alignment horizontal="center" vertical="center" wrapText="1"/>
      <protection locked="0"/>
    </xf>
    <xf numFmtId="4" fontId="33" fillId="35" borderId="22" xfId="0" applyNumberFormat="1" applyFont="1" applyFill="1" applyBorder="1" applyAlignment="1">
      <alignment horizontal="center" vertical="center" wrapText="1"/>
    </xf>
    <xf numFmtId="0" fontId="0" fillId="0" borderId="0" xfId="0"/>
    <xf numFmtId="4" fontId="44" fillId="0" borderId="22" xfId="0" applyNumberFormat="1" applyFont="1" applyFill="1" applyBorder="1" applyAlignment="1">
      <alignment horizontal="center" vertical="center" wrapText="1"/>
    </xf>
    <xf numFmtId="4" fontId="42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2" fillId="0" borderId="22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97" fillId="0" borderId="0" xfId="0" applyFont="1" applyAlignment="1">
      <alignment horizontal="right" vertical="center"/>
    </xf>
    <xf numFmtId="4" fontId="42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22" xfId="38" applyNumberFormat="1" applyFont="1" applyFill="1" applyBorder="1" applyAlignment="1">
      <alignment horizontal="center" vertical="center" wrapText="1"/>
    </xf>
    <xf numFmtId="4" fontId="50" fillId="34" borderId="22" xfId="38" applyNumberFormat="1" applyFont="1" applyFill="1" applyBorder="1" applyAlignment="1" applyProtection="1">
      <alignment horizontal="center" vertical="center" wrapText="1"/>
      <protection locked="0"/>
    </xf>
    <xf numFmtId="4" fontId="33" fillId="35" borderId="22" xfId="38" applyNumberFormat="1" applyFont="1" applyFill="1" applyBorder="1" applyAlignment="1" applyProtection="1">
      <alignment horizontal="center" vertical="center" wrapText="1"/>
      <protection locked="0"/>
    </xf>
    <xf numFmtId="49" fontId="32" fillId="0" borderId="22" xfId="0" applyNumberFormat="1" applyFont="1" applyBorder="1" applyAlignment="1">
      <alignment horizontal="center" vertical="center" wrapText="1"/>
    </xf>
    <xf numFmtId="164" fontId="32" fillId="0" borderId="22" xfId="30" applyNumberFormat="1" applyFont="1" applyBorder="1" applyAlignment="1">
      <alignment horizontal="center" vertical="center"/>
    </xf>
    <xf numFmtId="4" fontId="32" fillId="0" borderId="22" xfId="30" applyNumberFormat="1" applyFont="1" applyBorder="1" applyAlignment="1">
      <alignment horizontal="center" vertical="center"/>
    </xf>
    <xf numFmtId="49" fontId="51" fillId="0" borderId="22" xfId="0" applyNumberFormat="1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4" fontId="51" fillId="0" borderId="22" xfId="30" applyNumberFormat="1" applyFont="1" applyBorder="1" applyAlignment="1">
      <alignment horizontal="center" vertical="center"/>
    </xf>
    <xf numFmtId="9" fontId="32" fillId="0" borderId="22" xfId="0" applyNumberFormat="1" applyFont="1" applyBorder="1" applyAlignment="1">
      <alignment horizontal="center" vertical="center" wrapText="1"/>
    </xf>
    <xf numFmtId="4" fontId="32" fillId="0" borderId="22" xfId="0" applyNumberFormat="1" applyFont="1" applyBorder="1" applyAlignment="1">
      <alignment horizontal="center" vertical="center" wrapText="1"/>
    </xf>
    <xf numFmtId="164" fontId="51" fillId="0" borderId="22" xfId="30" applyNumberFormat="1" applyFont="1" applyBorder="1" applyAlignment="1">
      <alignment horizontal="center" vertical="center"/>
    </xf>
    <xf numFmtId="9" fontId="32" fillId="0" borderId="22" xfId="30" applyNumberFormat="1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0" fontId="51" fillId="0" borderId="22" xfId="45" applyFont="1" applyBorder="1" applyAlignment="1">
      <alignment horizontal="center" vertical="center" wrapText="1"/>
    </xf>
    <xf numFmtId="0" fontId="51" fillId="0" borderId="22" xfId="93" applyFont="1" applyBorder="1" applyAlignment="1">
      <alignment horizontal="center" vertical="center" wrapText="1"/>
    </xf>
    <xf numFmtId="0" fontId="32" fillId="0" borderId="22" xfId="40" applyFont="1" applyFill="1" applyBorder="1" applyAlignment="1">
      <alignment horizontal="center" vertical="center" wrapText="1"/>
    </xf>
    <xf numFmtId="49" fontId="32" fillId="0" borderId="22" xfId="18" applyNumberFormat="1" applyFont="1" applyBorder="1" applyAlignment="1">
      <alignment horizontal="center" vertical="center" wrapText="1"/>
    </xf>
    <xf numFmtId="0" fontId="32" fillId="0" borderId="22" xfId="92" applyFont="1" applyBorder="1" applyAlignment="1">
      <alignment horizontal="center" vertical="center" wrapText="1"/>
    </xf>
    <xf numFmtId="4" fontId="35" fillId="0" borderId="22" xfId="30" applyNumberFormat="1" applyFont="1" applyBorder="1" applyAlignment="1">
      <alignment horizontal="center" vertical="center"/>
    </xf>
    <xf numFmtId="9" fontId="35" fillId="0" borderId="22" xfId="30" applyNumberFormat="1" applyFont="1" applyBorder="1" applyAlignment="1">
      <alignment horizontal="center" vertical="center"/>
    </xf>
    <xf numFmtId="164" fontId="54" fillId="0" borderId="22" xfId="30" applyNumberFormat="1" applyFont="1" applyBorder="1" applyAlignment="1">
      <alignment horizontal="center" vertical="center"/>
    </xf>
    <xf numFmtId="0" fontId="35" fillId="0" borderId="22" xfId="18" applyFont="1" applyBorder="1" applyAlignment="1">
      <alignment horizontal="center" vertical="center" wrapText="1"/>
    </xf>
    <xf numFmtId="0" fontId="32" fillId="0" borderId="22" xfId="84" applyFont="1" applyBorder="1" applyAlignment="1">
      <alignment horizontal="center" vertical="center" wrapText="1"/>
    </xf>
    <xf numFmtId="0" fontId="32" fillId="0" borderId="22" xfId="40" applyFont="1" applyBorder="1" applyAlignment="1">
      <alignment horizontal="center" vertical="center" wrapText="1"/>
    </xf>
    <xf numFmtId="164" fontId="113" fillId="0" borderId="22" xfId="99" applyNumberFormat="1" applyFont="1" applyFill="1" applyBorder="1" applyAlignment="1">
      <alignment horizontal="center" vertical="center" wrapText="1"/>
    </xf>
    <xf numFmtId="164" fontId="51" fillId="0" borderId="22" xfId="30" applyNumberFormat="1" applyFont="1" applyFill="1" applyBorder="1" applyAlignment="1">
      <alignment horizontal="center" vertical="center"/>
    </xf>
    <xf numFmtId="4" fontId="51" fillId="0" borderId="22" xfId="30" applyNumberFormat="1" applyFont="1" applyFill="1" applyBorder="1" applyAlignment="1">
      <alignment horizontal="center" vertical="center"/>
    </xf>
    <xf numFmtId="0" fontId="60" fillId="0" borderId="0" xfId="35" applyFont="1" applyAlignment="1">
      <alignment horizontal="left"/>
    </xf>
    <xf numFmtId="0" fontId="9" fillId="0" borderId="7" xfId="37" applyFont="1" applyBorder="1" applyAlignment="1">
      <alignment horizontal="justify" vertical="top" wrapText="1"/>
    </xf>
    <xf numFmtId="0" fontId="0" fillId="0" borderId="0" xfId="0"/>
    <xf numFmtId="0" fontId="0" fillId="0" borderId="0" xfId="0"/>
    <xf numFmtId="0" fontId="16" fillId="0" borderId="0" xfId="0" applyFont="1" applyAlignment="1">
      <alignment horizontal="center" vertical="center"/>
    </xf>
    <xf numFmtId="0" fontId="42" fillId="0" borderId="0" xfId="0" applyFont="1"/>
    <xf numFmtId="0" fontId="93" fillId="0" borderId="0" xfId="0" applyFont="1" applyAlignment="1">
      <alignment horizontal="left" vertical="center"/>
    </xf>
    <xf numFmtId="0" fontId="95" fillId="0" borderId="0" xfId="0" applyFont="1" applyAlignment="1">
      <alignment horizontal="left" vertical="center"/>
    </xf>
    <xf numFmtId="0" fontId="0" fillId="0" borderId="0" xfId="0"/>
    <xf numFmtId="4" fontId="42" fillId="0" borderId="22" xfId="38" applyNumberFormat="1" applyFont="1" applyFill="1" applyBorder="1" applyAlignment="1" applyProtection="1">
      <alignment horizontal="center" vertical="center" wrapText="1"/>
      <protection locked="0"/>
    </xf>
    <xf numFmtId="49" fontId="42" fillId="0" borderId="22" xfId="0" applyNumberFormat="1" applyFont="1" applyBorder="1" applyAlignment="1">
      <alignment horizontal="center" vertical="center" wrapText="1"/>
    </xf>
    <xf numFmtId="4" fontId="42" fillId="0" borderId="22" xfId="0" applyNumberFormat="1" applyFont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4" fontId="33" fillId="0" borderId="0" xfId="0" applyNumberFormat="1" applyFont="1" applyFill="1" applyBorder="1" applyAlignment="1">
      <alignment horizontal="center" vertical="center"/>
    </xf>
    <xf numFmtId="0" fontId="72" fillId="0" borderId="0" xfId="35" applyFont="1" applyFill="1"/>
    <xf numFmtId="0" fontId="74" fillId="0" borderId="0" xfId="0" applyFont="1" applyFill="1" applyBorder="1" applyAlignment="1">
      <alignment horizontal="center" vertical="center"/>
    </xf>
    <xf numFmtId="2" fontId="74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74" fillId="0" borderId="0" xfId="36" applyNumberFormat="1" applyFont="1" applyFill="1" applyBorder="1" applyAlignment="1">
      <alignment horizontal="center" vertical="center" wrapText="1"/>
    </xf>
    <xf numFmtId="2" fontId="15" fillId="0" borderId="0" xfId="36" applyNumberFormat="1" applyFont="1" applyFill="1" applyAlignment="1">
      <alignment horizontal="center" vertical="top"/>
    </xf>
    <xf numFmtId="2" fontId="69" fillId="0" borderId="0" xfId="36" applyNumberFormat="1" applyFill="1" applyAlignment="1">
      <alignment horizontal="center" vertical="top"/>
    </xf>
    <xf numFmtId="164" fontId="109" fillId="0" borderId="22" xfId="30" applyNumberFormat="1" applyFont="1" applyBorder="1" applyAlignment="1">
      <alignment horizontal="center" vertical="center" wrapText="1"/>
    </xf>
    <xf numFmtId="49" fontId="33" fillId="0" borderId="22" xfId="0" applyNumberFormat="1" applyFont="1" applyFill="1" applyBorder="1" applyAlignment="1">
      <alignment horizontal="center" vertical="center" wrapText="1"/>
    </xf>
    <xf numFmtId="0" fontId="14" fillId="0" borderId="7" xfId="39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60" fillId="0" borderId="0" xfId="39" applyFont="1" applyAlignment="1">
      <alignment horizontal="center" vertical="center"/>
    </xf>
    <xf numFmtId="0" fontId="17" fillId="0" borderId="17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70" fillId="0" borderId="0" xfId="0" applyFont="1" applyAlignment="1">
      <alignment horizontal="center"/>
    </xf>
    <xf numFmtId="0" fontId="62" fillId="0" borderId="7" xfId="0" applyFont="1" applyBorder="1" applyAlignment="1">
      <alignment horizontal="center" vertical="center" wrapText="1"/>
    </xf>
    <xf numFmtId="0" fontId="62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top"/>
    </xf>
    <xf numFmtId="0" fontId="118" fillId="0" borderId="0" xfId="0" applyFont="1" applyBorder="1" applyAlignment="1">
      <alignment horizontal="center" vertical="top"/>
    </xf>
    <xf numFmtId="0" fontId="119" fillId="0" borderId="0" xfId="0" applyFont="1" applyBorder="1" applyAlignment="1">
      <alignment horizontal="center"/>
    </xf>
    <xf numFmtId="0" fontId="120" fillId="0" borderId="0" xfId="0" applyFont="1" applyBorder="1" applyAlignment="1">
      <alignment horizontal="center"/>
    </xf>
    <xf numFmtId="0" fontId="42" fillId="0" borderId="0" xfId="0" applyFont="1"/>
    <xf numFmtId="4" fontId="44" fillId="0" borderId="22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top" wrapText="1"/>
    </xf>
    <xf numFmtId="0" fontId="41" fillId="0" borderId="22" xfId="0" applyFont="1" applyBorder="1" applyAlignment="1">
      <alignment horizontal="center" vertical="top"/>
    </xf>
    <xf numFmtId="0" fontId="12" fillId="0" borderId="22" xfId="0" applyFont="1" applyBorder="1" applyAlignment="1">
      <alignment horizontal="center" vertical="top"/>
    </xf>
    <xf numFmtId="4" fontId="42" fillId="0" borderId="22" xfId="0" applyNumberFormat="1" applyFont="1" applyFill="1" applyBorder="1" applyAlignment="1">
      <alignment horizontal="center" vertical="center" wrapText="1"/>
    </xf>
    <xf numFmtId="4" fontId="0" fillId="0" borderId="22" xfId="0" applyNumberForma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top"/>
    </xf>
    <xf numFmtId="0" fontId="4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121" fillId="0" borderId="0" xfId="0" applyFont="1" applyBorder="1" applyAlignment="1">
      <alignment horizontal="center"/>
    </xf>
    <xf numFmtId="0" fontId="122" fillId="0" borderId="0" xfId="0" applyFont="1" applyBorder="1" applyAlignment="1">
      <alignment horizontal="center"/>
    </xf>
    <xf numFmtId="0" fontId="109" fillId="0" borderId="0" xfId="0" applyFont="1" applyBorder="1" applyAlignment="1">
      <alignment horizontal="center" vertical="top"/>
    </xf>
    <xf numFmtId="0" fontId="47" fillId="0" borderId="0" xfId="0" applyFont="1" applyBorder="1" applyAlignment="1">
      <alignment horizontal="center" vertical="top"/>
    </xf>
    <xf numFmtId="4" fontId="41" fillId="0" borderId="22" xfId="0" applyNumberFormat="1" applyFont="1" applyFill="1" applyBorder="1" applyAlignment="1">
      <alignment horizontal="center" vertical="center" wrapText="1"/>
    </xf>
    <xf numFmtId="4" fontId="12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49" fontId="42" fillId="0" borderId="22" xfId="0" applyNumberFormat="1" applyFont="1" applyFill="1" applyBorder="1" applyAlignment="1">
      <alignment horizontal="center" vertical="center" wrapText="1"/>
    </xf>
    <xf numFmtId="4" fontId="42" fillId="0" borderId="23" xfId="0" applyNumberFormat="1" applyFont="1" applyFill="1" applyBorder="1" applyAlignment="1">
      <alignment horizontal="center" vertical="center" wrapText="1"/>
    </xf>
    <xf numFmtId="4" fontId="42" fillId="0" borderId="24" xfId="0" applyNumberFormat="1" applyFont="1" applyFill="1" applyBorder="1" applyAlignment="1">
      <alignment horizontal="center" vertical="center" wrapText="1"/>
    </xf>
    <xf numFmtId="0" fontId="42" fillId="0" borderId="0" xfId="0" applyFont="1" applyFill="1"/>
    <xf numFmtId="0" fontId="93" fillId="0" borderId="0" xfId="0" applyFont="1" applyFill="1" applyBorder="1" applyAlignment="1">
      <alignment horizontal="left" vertical="center"/>
    </xf>
    <xf numFmtId="0" fontId="95" fillId="0" borderId="0" xfId="0" applyFont="1" applyFill="1" applyBorder="1" applyAlignment="1">
      <alignment horizontal="left" vertical="center"/>
    </xf>
    <xf numFmtId="0" fontId="106" fillId="0" borderId="22" xfId="35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 wrapText="1"/>
    </xf>
    <xf numFmtId="0" fontId="32" fillId="0" borderId="0" xfId="0" applyFont="1"/>
    <xf numFmtId="0" fontId="32" fillId="0" borderId="0" xfId="35" applyFont="1" applyAlignment="1">
      <alignment horizontal="center" vertical="center" wrapText="1"/>
    </xf>
    <xf numFmtId="0" fontId="15" fillId="0" borderId="0" xfId="35" applyFont="1" applyAlignment="1">
      <alignment horizontal="center" vertical="center" wrapText="1"/>
    </xf>
    <xf numFmtId="0" fontId="17" fillId="0" borderId="22" xfId="35" applyFont="1" applyBorder="1" applyAlignment="1">
      <alignment horizontal="center" vertical="top" wrapText="1"/>
    </xf>
    <xf numFmtId="0" fontId="123" fillId="0" borderId="0" xfId="0" applyFont="1" applyBorder="1" applyAlignment="1">
      <alignment horizontal="center" vertical="center"/>
    </xf>
    <xf numFmtId="0" fontId="124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23" fillId="0" borderId="0" xfId="0" applyFont="1" applyBorder="1" applyAlignment="1">
      <alignment horizontal="center"/>
    </xf>
    <xf numFmtId="0" fontId="124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72" fillId="0" borderId="0" xfId="35" applyFont="1"/>
    <xf numFmtId="0" fontId="17" fillId="0" borderId="22" xfId="0" applyFont="1" applyBorder="1" applyAlignment="1">
      <alignment horizontal="center" vertical="top" wrapText="1"/>
    </xf>
    <xf numFmtId="0" fontId="17" fillId="0" borderId="22" xfId="0" applyFont="1" applyBorder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3" fillId="0" borderId="0" xfId="35" applyFont="1" applyAlignment="1">
      <alignment horizontal="center" vertical="center"/>
    </xf>
    <xf numFmtId="0" fontId="48" fillId="0" borderId="0" xfId="35" applyFont="1" applyAlignment="1">
      <alignment horizontal="center" vertical="center" wrapText="1"/>
    </xf>
    <xf numFmtId="0" fontId="123" fillId="0" borderId="0" xfId="0" applyFont="1" applyAlignment="1">
      <alignment horizontal="center"/>
    </xf>
    <xf numFmtId="0" fontId="124" fillId="0" borderId="0" xfId="0" applyFont="1" applyAlignment="1">
      <alignment horizontal="center"/>
    </xf>
    <xf numFmtId="0" fontId="40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9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5" fillId="0" borderId="0" xfId="0" applyFont="1" applyAlignment="1">
      <alignment horizontal="center" vertical="center"/>
    </xf>
    <xf numFmtId="2" fontId="76" fillId="0" borderId="22" xfId="36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/>
    </xf>
    <xf numFmtId="2" fontId="14" fillId="0" borderId="22" xfId="36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2" fontId="74" fillId="0" borderId="22" xfId="36" applyNumberFormat="1" applyFont="1" applyBorder="1" applyAlignment="1">
      <alignment horizontal="center" vertical="center"/>
    </xf>
    <xf numFmtId="2" fontId="74" fillId="30" borderId="22" xfId="36" applyNumberFormat="1" applyFont="1" applyFill="1" applyBorder="1" applyAlignment="1">
      <alignment horizontal="left" vertical="center" wrapText="1"/>
    </xf>
    <xf numFmtId="0" fontId="0" fillId="30" borderId="22" xfId="0" applyFill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74" fillId="0" borderId="0" xfId="36" applyFont="1" applyAlignment="1">
      <alignment horizontal="center"/>
    </xf>
    <xf numFmtId="0" fontId="7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4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74" fillId="0" borderId="0" xfId="0" applyFont="1" applyAlignment="1">
      <alignment horizontal="center" vertical="center"/>
    </xf>
    <xf numFmtId="0" fontId="69" fillId="0" borderId="0" xfId="36">
      <alignment vertical="top"/>
    </xf>
    <xf numFmtId="0" fontId="13" fillId="0" borderId="0" xfId="36" applyFont="1" applyAlignment="1">
      <alignment horizontal="center" vertical="center" wrapText="1"/>
    </xf>
    <xf numFmtId="0" fontId="16" fillId="0" borderId="0" xfId="36" applyFont="1" applyAlignment="1">
      <alignment horizontal="left" vertical="top" wrapText="1"/>
    </xf>
    <xf numFmtId="2" fontId="74" fillId="0" borderId="22" xfId="36" applyNumberFormat="1" applyFont="1" applyFill="1" applyBorder="1" applyAlignment="1">
      <alignment horizontal="center" vertical="center" wrapText="1"/>
    </xf>
    <xf numFmtId="2" fontId="76" fillId="0" borderId="26" xfId="36" applyNumberFormat="1" applyFont="1" applyFill="1" applyBorder="1" applyAlignment="1">
      <alignment horizontal="center" vertical="top" wrapText="1"/>
    </xf>
    <xf numFmtId="0" fontId="0" fillId="0" borderId="24" xfId="0" applyFill="1" applyBorder="1" applyAlignment="1">
      <alignment horizontal="center" vertical="top"/>
    </xf>
    <xf numFmtId="2" fontId="76" fillId="0" borderId="0" xfId="36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2" fontId="13" fillId="0" borderId="22" xfId="36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" fontId="13" fillId="0" borderId="22" xfId="36" applyNumberFormat="1" applyFont="1" applyFill="1" applyBorder="1" applyAlignment="1">
      <alignment horizontal="center" vertical="center" wrapText="1"/>
    </xf>
    <xf numFmtId="0" fontId="74" fillId="0" borderId="0" xfId="36" applyFont="1" applyAlignment="1">
      <alignment horizontal="center" vertical="center"/>
    </xf>
    <xf numFmtId="0" fontId="97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36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4" fontId="42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47" fillId="0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93" fillId="0" borderId="0" xfId="0" applyFont="1" applyBorder="1" applyAlignment="1">
      <alignment horizontal="left" vertical="center"/>
    </xf>
    <xf numFmtId="0" fontId="95" fillId="0" borderId="0" xfId="0" applyFont="1" applyBorder="1" applyAlignment="1">
      <alignment horizontal="left" vertical="center"/>
    </xf>
    <xf numFmtId="4" fontId="42" fillId="0" borderId="22" xfId="38" applyNumberFormat="1" applyFont="1" applyFill="1" applyBorder="1" applyAlignment="1">
      <alignment horizontal="center" vertical="center" wrapText="1"/>
    </xf>
    <xf numFmtId="4" fontId="42" fillId="0" borderId="23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24" xfId="38" applyNumberFormat="1" applyFont="1" applyFill="1" applyBorder="1" applyAlignment="1" applyProtection="1">
      <alignment horizontal="center" vertical="center" wrapText="1"/>
      <protection locked="0"/>
    </xf>
    <xf numFmtId="49" fontId="42" fillId="0" borderId="23" xfId="0" applyNumberFormat="1" applyFont="1" applyFill="1" applyBorder="1" applyAlignment="1">
      <alignment horizontal="center" vertical="center" wrapText="1"/>
    </xf>
    <xf numFmtId="49" fontId="42" fillId="0" borderId="25" xfId="0" applyNumberFormat="1" applyFont="1" applyFill="1" applyBorder="1" applyAlignment="1">
      <alignment horizontal="center" vertical="center" wrapText="1"/>
    </xf>
    <xf numFmtId="164" fontId="109" fillId="0" borderId="23" xfId="30" applyNumberFormat="1" applyFont="1" applyFill="1" applyBorder="1" applyAlignment="1">
      <alignment horizontal="center" vertical="center" wrapText="1"/>
    </xf>
    <xf numFmtId="49" fontId="42" fillId="0" borderId="24" xfId="0" applyNumberFormat="1" applyFont="1" applyFill="1" applyBorder="1" applyAlignment="1">
      <alignment horizontal="center" vertical="center" wrapText="1"/>
    </xf>
  </cellXfs>
  <cellStyles count="100">
    <cellStyle name="20% - Акцент1" xfId="46"/>
    <cellStyle name="20% - Акцент2" xfId="47"/>
    <cellStyle name="20% - Акцент3" xfId="48"/>
    <cellStyle name="20% - Акцент4" xfId="49"/>
    <cellStyle name="20% - Акцент5" xfId="50"/>
    <cellStyle name="20% - Акцент6" xfId="51"/>
    <cellStyle name="40% - Акцент1" xfId="52"/>
    <cellStyle name="40% - Акцент2" xfId="53"/>
    <cellStyle name="40% - Акцент3" xfId="54"/>
    <cellStyle name="40% - Акцент4" xfId="55"/>
    <cellStyle name="40% - Акцент5" xfId="56"/>
    <cellStyle name="40% - Акцент6" xfId="57"/>
    <cellStyle name="60% - Акцент1" xfId="58"/>
    <cellStyle name="60% - Акцент2" xfId="59"/>
    <cellStyle name="60% - Акцент3" xfId="60"/>
    <cellStyle name="60% - Акцент4" xfId="61"/>
    <cellStyle name="60% - Акцент5" xfId="62"/>
    <cellStyle name="60% - Акцент6" xfId="63"/>
    <cellStyle name="Excel Built-in Обычный_УКБ до бюджету 2016р ост" xfId="84"/>
    <cellStyle name="Normal_meresha_07" xfId="1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ід" xfId="2"/>
    <cellStyle name="Ввод " xfId="70"/>
    <cellStyle name="Вывод" xfId="71"/>
    <cellStyle name="Вычисление" xfId="72"/>
    <cellStyle name="Гіперпосилання 2" xfId="73"/>
    <cellStyle name="Добре" xfId="3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Звичайний" xfId="0" builtinId="0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 2" xfId="19"/>
    <cellStyle name="Звичайний 2 2 2" xfId="88"/>
    <cellStyle name="Звичайний 2 3" xfId="94"/>
    <cellStyle name="Звичайний 20" xfId="20"/>
    <cellStyle name="Звичайний 21" xfId="86"/>
    <cellStyle name="Звичайний 21 2" xfId="93"/>
    <cellStyle name="Звичайний 21 2 2" xfId="96"/>
    <cellStyle name="Звичайний 21 2 3" xfId="98"/>
    <cellStyle name="Звичайний 27 3 2" xfId="87"/>
    <cellStyle name="Звичайний 3" xfId="21"/>
    <cellStyle name="Звичайний 3 2" xfId="22"/>
    <cellStyle name="Звичайний 3 2 2" xfId="89"/>
    <cellStyle name="Звичайний 30 2" xfId="95"/>
    <cellStyle name="Звичайний 30 2 2" xfId="97"/>
    <cellStyle name="Звичайний 30 2 3" xfId="99"/>
    <cellStyle name="Звичайний 4" xfId="23"/>
    <cellStyle name="Звичайний 4 2" xfId="24"/>
    <cellStyle name="Звичайний 4 2 2" xfId="90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Зв'язана клітинка" xfId="41"/>
    <cellStyle name="Итог" xfId="74"/>
    <cellStyle name="Контрольна клітинка" xfId="31"/>
    <cellStyle name="Контрольная ячейка" xfId="75"/>
    <cellStyle name="Назва" xfId="32"/>
    <cellStyle name="Название" xfId="76"/>
    <cellStyle name="Нейтральный" xfId="77"/>
    <cellStyle name="Обычный 2" xfId="33"/>
    <cellStyle name="Обычный 2 2" xfId="34"/>
    <cellStyle name="Обычный 2 2 2" xfId="91"/>
    <cellStyle name="Обычный 3" xfId="35"/>
    <cellStyle name="Обычный 4 3" xfId="85"/>
    <cellStyle name="Обычный_Plan_kapbud_2006 уточн." xfId="36"/>
    <cellStyle name="Обычный_дод.1" xfId="37"/>
    <cellStyle name="Обычный_Додаток 2 до бюджету 2000 року" xfId="38"/>
    <cellStyle name="Обычный_Додаток №1" xfId="39"/>
    <cellStyle name="Обычный_КАПІТАЛЬНІ  ВКЛАДЕННЯ 2015 2 2" xfId="45"/>
    <cellStyle name="Обычный_УЖКГ бюджет 2016 Після Ямчука 2" xfId="40"/>
    <cellStyle name="Обычный_УКБ до бюджету 2016р ост 2" xfId="92"/>
    <cellStyle name="Плохой" xfId="78"/>
    <cellStyle name="Пояснение" xfId="79"/>
    <cellStyle name="Примечание" xfId="80"/>
    <cellStyle name="Связанная ячейка" xfId="81"/>
    <cellStyle name="Середній" xfId="42"/>
    <cellStyle name="Стиль 1" xfId="43"/>
    <cellStyle name="Текст попередження" xfId="44"/>
    <cellStyle name="Текст предупреждения" xfId="82"/>
    <cellStyle name="Хороший" xfId="83"/>
  </cellStyles>
  <dxfs count="0"/>
  <tableStyles count="0" defaultTableStyle="TableStyleMedium2" defaultPivotStyle="PivotStyleLight16"/>
  <colors>
    <mruColors>
      <color rgb="FF99FF99"/>
      <color rgb="FFFFFF99"/>
      <color rgb="FFFFFFCC"/>
      <color rgb="FFCCFF99"/>
      <color rgb="FFCC99FF"/>
      <color rgb="FF66FFFF"/>
      <color rgb="FF66FFCC"/>
      <color rgb="FFFF99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showZeros="0" view="pageBreakPreview" zoomScaleSheetLayoutView="100" workbookViewId="0">
      <selection activeCell="D2" sqref="D2:G2"/>
    </sheetView>
  </sheetViews>
  <sheetFormatPr defaultColWidth="6.85546875" defaultRowHeight="12.75" x14ac:dyDescent="0.2"/>
  <cols>
    <col min="1" max="1" width="10.140625" style="16" customWidth="1"/>
    <col min="2" max="2" width="40.42578125" style="16" customWidth="1"/>
    <col min="3" max="4" width="17.28515625" style="16" customWidth="1"/>
    <col min="5" max="5" width="15.7109375" style="16" customWidth="1"/>
    <col min="6" max="6" width="14.5703125" style="16" customWidth="1"/>
    <col min="7" max="252" width="7.85546875" style="16" customWidth="1"/>
    <col min="253" max="16384" width="6.85546875" style="16"/>
  </cols>
  <sheetData>
    <row r="1" spans="1:7" ht="15.75" x14ac:dyDescent="0.2">
      <c r="D1" s="490" t="s">
        <v>74</v>
      </c>
      <c r="E1" s="491"/>
      <c r="F1" s="491"/>
      <c r="G1" s="491"/>
    </row>
    <row r="2" spans="1:7" ht="15.75" x14ac:dyDescent="0.2">
      <c r="C2" s="17"/>
      <c r="D2" s="490" t="s">
        <v>932</v>
      </c>
      <c r="E2" s="492"/>
      <c r="F2" s="492"/>
      <c r="G2" s="492"/>
    </row>
    <row r="3" spans="1:7" ht="6" customHeight="1" x14ac:dyDescent="0.2">
      <c r="C3" s="17"/>
      <c r="D3" s="490"/>
      <c r="E3" s="492"/>
      <c r="F3" s="492"/>
      <c r="G3" s="492"/>
    </row>
    <row r="4" spans="1:7" ht="20.25" hidden="1" x14ac:dyDescent="0.2">
      <c r="A4" s="493"/>
      <c r="B4" s="493"/>
      <c r="C4" s="493"/>
      <c r="D4" s="493"/>
      <c r="E4" s="493"/>
    </row>
    <row r="5" spans="1:7" ht="25.5" customHeight="1" x14ac:dyDescent="0.2">
      <c r="A5" s="493" t="s">
        <v>580</v>
      </c>
      <c r="B5" s="493"/>
      <c r="C5" s="493"/>
      <c r="D5" s="493"/>
      <c r="E5" s="493"/>
    </row>
    <row r="6" spans="1:7" ht="25.5" customHeight="1" x14ac:dyDescent="0.2">
      <c r="A6" s="213"/>
      <c r="B6" s="214" t="s">
        <v>693</v>
      </c>
      <c r="C6" s="213"/>
      <c r="D6" s="213"/>
      <c r="E6" s="213"/>
    </row>
    <row r="7" spans="1:7" ht="10.5" customHeight="1" x14ac:dyDescent="0.2">
      <c r="B7" s="18"/>
      <c r="C7" s="18"/>
      <c r="D7" s="18"/>
      <c r="E7" s="18"/>
      <c r="F7" s="18" t="s">
        <v>75</v>
      </c>
    </row>
    <row r="8" spans="1:7" s="19" customFormat="1" ht="31.7" customHeight="1" x14ac:dyDescent="0.2">
      <c r="A8" s="489" t="s">
        <v>76</v>
      </c>
      <c r="B8" s="489" t="s">
        <v>77</v>
      </c>
      <c r="C8" s="489" t="s">
        <v>475</v>
      </c>
      <c r="D8" s="489" t="s">
        <v>14</v>
      </c>
      <c r="E8" s="489" t="s">
        <v>67</v>
      </c>
      <c r="F8" s="489"/>
    </row>
    <row r="9" spans="1:7" s="21" customFormat="1" ht="38.25" x14ac:dyDescent="0.25">
      <c r="A9" s="489"/>
      <c r="B9" s="489"/>
      <c r="C9" s="489"/>
      <c r="D9" s="489"/>
      <c r="E9" s="211" t="s">
        <v>475</v>
      </c>
      <c r="F9" s="20" t="s">
        <v>538</v>
      </c>
    </row>
    <row r="10" spans="1:7" s="21" customFormat="1" ht="15.75" x14ac:dyDescent="0.25">
      <c r="A10" s="211">
        <v>1</v>
      </c>
      <c r="B10" s="211">
        <v>2</v>
      </c>
      <c r="C10" s="211">
        <v>3</v>
      </c>
      <c r="D10" s="211">
        <v>4</v>
      </c>
      <c r="E10" s="211">
        <v>5</v>
      </c>
      <c r="F10" s="20">
        <v>6</v>
      </c>
    </row>
    <row r="11" spans="1:7" s="25" customFormat="1" ht="14.25" x14ac:dyDescent="0.2">
      <c r="A11" s="22">
        <v>10000000</v>
      </c>
      <c r="B11" s="23" t="s">
        <v>78</v>
      </c>
      <c r="C11" s="24">
        <f>SUM(D11,E11)</f>
        <v>1851712363</v>
      </c>
      <c r="D11" s="24">
        <f>SUM(D12,D20,D21,D22,D23,D41)</f>
        <v>1851212363</v>
      </c>
      <c r="E11" s="24">
        <v>500000</v>
      </c>
      <c r="F11" s="24"/>
    </row>
    <row r="12" spans="1:7" s="30" customFormat="1" ht="25.5" x14ac:dyDescent="0.2">
      <c r="A12" s="26">
        <v>11000000</v>
      </c>
      <c r="B12" s="27" t="s">
        <v>79</v>
      </c>
      <c r="C12" s="28">
        <f t="shared" ref="C12:C79" si="0">SUM(D12,E12)</f>
        <v>1208707363</v>
      </c>
      <c r="D12" s="28">
        <f>SUM(D13,D18)</f>
        <v>1208707363</v>
      </c>
      <c r="E12" s="29"/>
      <c r="F12" s="29"/>
    </row>
    <row r="13" spans="1:7" s="30" customFormat="1" ht="14.25" x14ac:dyDescent="0.2">
      <c r="A13" s="22">
        <v>11010000</v>
      </c>
      <c r="B13" s="31" t="s">
        <v>80</v>
      </c>
      <c r="C13" s="28">
        <f t="shared" si="0"/>
        <v>1207057363</v>
      </c>
      <c r="D13" s="32">
        <f>SUM(D14:D17)</f>
        <v>1207057363</v>
      </c>
      <c r="E13" s="24"/>
      <c r="F13" s="24"/>
    </row>
    <row r="14" spans="1:7" s="30" customFormat="1" ht="36" x14ac:dyDescent="0.2">
      <c r="A14" s="33">
        <v>11010100</v>
      </c>
      <c r="B14" s="34" t="s">
        <v>81</v>
      </c>
      <c r="C14" s="28">
        <f t="shared" si="0"/>
        <v>1012207363</v>
      </c>
      <c r="D14" s="40">
        <f>1007207363+5000000</f>
        <v>1012207363</v>
      </c>
      <c r="E14" s="35"/>
      <c r="F14" s="35"/>
    </row>
    <row r="15" spans="1:7" s="30" customFormat="1" ht="60" x14ac:dyDescent="0.2">
      <c r="A15" s="33">
        <v>11010200</v>
      </c>
      <c r="B15" s="34" t="s">
        <v>82</v>
      </c>
      <c r="C15" s="28">
        <f t="shared" si="0"/>
        <v>167600000</v>
      </c>
      <c r="D15" s="40">
        <v>167600000</v>
      </c>
      <c r="E15" s="35"/>
      <c r="F15" s="35"/>
    </row>
    <row r="16" spans="1:7" s="30" customFormat="1" ht="36" x14ac:dyDescent="0.2">
      <c r="A16" s="33">
        <v>11010400</v>
      </c>
      <c r="B16" s="34" t="s">
        <v>83</v>
      </c>
      <c r="C16" s="28">
        <f t="shared" si="0"/>
        <v>17250000</v>
      </c>
      <c r="D16" s="40">
        <v>17250000</v>
      </c>
      <c r="E16" s="35"/>
      <c r="F16" s="35"/>
    </row>
    <row r="17" spans="1:6" s="21" customFormat="1" ht="36" x14ac:dyDescent="0.25">
      <c r="A17" s="33">
        <v>11010500</v>
      </c>
      <c r="B17" s="34" t="s">
        <v>84</v>
      </c>
      <c r="C17" s="28">
        <f t="shared" si="0"/>
        <v>10000000</v>
      </c>
      <c r="D17" s="40">
        <v>10000000</v>
      </c>
      <c r="E17" s="35"/>
      <c r="F17" s="35"/>
    </row>
    <row r="18" spans="1:6" s="25" customFormat="1" ht="15" x14ac:dyDescent="0.2">
      <c r="A18" s="26">
        <v>11020000</v>
      </c>
      <c r="B18" s="31" t="s">
        <v>85</v>
      </c>
      <c r="C18" s="28">
        <f t="shared" si="0"/>
        <v>1650000</v>
      </c>
      <c r="D18" s="199">
        <v>1650000</v>
      </c>
      <c r="E18" s="37"/>
      <c r="F18" s="37"/>
    </row>
    <row r="19" spans="1:6" s="21" customFormat="1" ht="24" x14ac:dyDescent="0.25">
      <c r="A19" s="33">
        <v>11020200</v>
      </c>
      <c r="B19" s="38" t="s">
        <v>86</v>
      </c>
      <c r="C19" s="28">
        <f t="shared" si="0"/>
        <v>1650000</v>
      </c>
      <c r="D19" s="40">
        <v>1650000</v>
      </c>
      <c r="E19" s="39"/>
      <c r="F19" s="29"/>
    </row>
    <row r="20" spans="1:6" s="41" customFormat="1" ht="26.45" customHeight="1" x14ac:dyDescent="0.2">
      <c r="A20" s="20">
        <v>14021900</v>
      </c>
      <c r="B20" s="27" t="s">
        <v>186</v>
      </c>
      <c r="C20" s="28">
        <f>SUM(D20,E20)</f>
        <v>12250000</v>
      </c>
      <c r="D20" s="28">
        <v>12250000</v>
      </c>
      <c r="E20" s="40"/>
      <c r="F20" s="40"/>
    </row>
    <row r="21" spans="1:6" s="41" customFormat="1" ht="22.7" customHeight="1" x14ac:dyDescent="0.2">
      <c r="A21" s="20">
        <v>14031900</v>
      </c>
      <c r="B21" s="27" t="s">
        <v>187</v>
      </c>
      <c r="C21" s="28">
        <f>SUM(D21,E21)</f>
        <v>58000000</v>
      </c>
      <c r="D21" s="28">
        <v>58000000</v>
      </c>
      <c r="E21" s="40"/>
      <c r="F21" s="40"/>
    </row>
    <row r="22" spans="1:6" s="41" customFormat="1" ht="39.75" customHeight="1" x14ac:dyDescent="0.2">
      <c r="A22" s="20">
        <v>14040000</v>
      </c>
      <c r="B22" s="27" t="s">
        <v>87</v>
      </c>
      <c r="C22" s="28">
        <f>SUM(D22,E22)</f>
        <v>78855000</v>
      </c>
      <c r="D22" s="28">
        <v>78855000</v>
      </c>
      <c r="E22" s="40"/>
      <c r="F22" s="40"/>
    </row>
    <row r="23" spans="1:6" s="21" customFormat="1" ht="15" x14ac:dyDescent="0.25">
      <c r="A23" s="22">
        <v>18000000</v>
      </c>
      <c r="B23" s="42" t="s">
        <v>88</v>
      </c>
      <c r="C23" s="28">
        <f t="shared" si="0"/>
        <v>493400000</v>
      </c>
      <c r="D23" s="28">
        <f>SUM(D24,D35,D38)</f>
        <v>493400000</v>
      </c>
      <c r="E23" s="24"/>
      <c r="F23" s="24"/>
    </row>
    <row r="24" spans="1:6" s="21" customFormat="1" ht="15" x14ac:dyDescent="0.25">
      <c r="A24" s="26">
        <v>18010000</v>
      </c>
      <c r="B24" s="43" t="s">
        <v>89</v>
      </c>
      <c r="C24" s="28">
        <f t="shared" si="0"/>
        <v>176165000</v>
      </c>
      <c r="D24" s="32">
        <f>SUM(D25:D34)</f>
        <v>176165000</v>
      </c>
      <c r="E24" s="29"/>
      <c r="F24" s="29"/>
    </row>
    <row r="25" spans="1:6" s="21" customFormat="1" ht="36" x14ac:dyDescent="0.25">
      <c r="A25" s="26">
        <v>18010100</v>
      </c>
      <c r="B25" s="45" t="s">
        <v>90</v>
      </c>
      <c r="C25" s="28">
        <f t="shared" si="0"/>
        <v>178300</v>
      </c>
      <c r="D25" s="40">
        <v>178300</v>
      </c>
      <c r="E25" s="29"/>
      <c r="F25" s="29"/>
    </row>
    <row r="26" spans="1:6" s="21" customFormat="1" ht="36" x14ac:dyDescent="0.25">
      <c r="A26" s="26">
        <v>18010200</v>
      </c>
      <c r="B26" s="45" t="s">
        <v>91</v>
      </c>
      <c r="C26" s="28">
        <f t="shared" si="0"/>
        <v>12200000</v>
      </c>
      <c r="D26" s="40">
        <v>12200000</v>
      </c>
      <c r="E26" s="29"/>
      <c r="F26" s="29"/>
    </row>
    <row r="27" spans="1:6" s="21" customFormat="1" ht="36" x14ac:dyDescent="0.25">
      <c r="A27" s="26">
        <v>18010300</v>
      </c>
      <c r="B27" s="45" t="s">
        <v>92</v>
      </c>
      <c r="C27" s="28">
        <f t="shared" si="0"/>
        <v>1850000</v>
      </c>
      <c r="D27" s="40">
        <v>1850000</v>
      </c>
      <c r="E27" s="29"/>
      <c r="F27" s="29"/>
    </row>
    <row r="28" spans="1:6" s="21" customFormat="1" ht="36" x14ac:dyDescent="0.25">
      <c r="A28" s="26">
        <v>18010400</v>
      </c>
      <c r="B28" s="45" t="s">
        <v>93</v>
      </c>
      <c r="C28" s="28">
        <f t="shared" si="0"/>
        <v>10771700</v>
      </c>
      <c r="D28" s="40">
        <v>10771700</v>
      </c>
      <c r="E28" s="29"/>
      <c r="F28" s="29"/>
    </row>
    <row r="29" spans="1:6" s="21" customFormat="1" ht="15" x14ac:dyDescent="0.25">
      <c r="A29" s="26">
        <v>18010500</v>
      </c>
      <c r="B29" s="46" t="s">
        <v>94</v>
      </c>
      <c r="C29" s="28">
        <f t="shared" si="0"/>
        <v>39735000</v>
      </c>
      <c r="D29" s="40">
        <v>39735000</v>
      </c>
      <c r="E29" s="29"/>
      <c r="F29" s="29"/>
    </row>
    <row r="30" spans="1:6" s="21" customFormat="1" ht="15" x14ac:dyDescent="0.25">
      <c r="A30" s="26">
        <v>18010600</v>
      </c>
      <c r="B30" s="45" t="s">
        <v>95</v>
      </c>
      <c r="C30" s="28">
        <f t="shared" si="0"/>
        <v>85050000</v>
      </c>
      <c r="D30" s="40">
        <v>85050000</v>
      </c>
      <c r="E30" s="29"/>
      <c r="F30" s="29"/>
    </row>
    <row r="31" spans="1:6" s="21" customFormat="1" ht="15" x14ac:dyDescent="0.25">
      <c r="A31" s="26">
        <v>18010700</v>
      </c>
      <c r="B31" s="45" t="s">
        <v>96</v>
      </c>
      <c r="C31" s="28">
        <f t="shared" si="0"/>
        <v>1500000</v>
      </c>
      <c r="D31" s="40">
        <v>1500000</v>
      </c>
      <c r="E31" s="29"/>
      <c r="F31" s="29"/>
    </row>
    <row r="32" spans="1:6" s="21" customFormat="1" ht="15" x14ac:dyDescent="0.25">
      <c r="A32" s="26">
        <v>18010900</v>
      </c>
      <c r="B32" s="45" t="s">
        <v>97</v>
      </c>
      <c r="C32" s="28">
        <f t="shared" si="0"/>
        <v>23000000</v>
      </c>
      <c r="D32" s="40">
        <v>23000000</v>
      </c>
      <c r="E32" s="29"/>
      <c r="F32" s="29"/>
    </row>
    <row r="33" spans="1:6" s="25" customFormat="1" ht="15" x14ac:dyDescent="0.2">
      <c r="A33" s="26">
        <v>18011000</v>
      </c>
      <c r="B33" s="45" t="s">
        <v>98</v>
      </c>
      <c r="C33" s="28">
        <f t="shared" si="0"/>
        <v>1050000</v>
      </c>
      <c r="D33" s="40">
        <v>1050000</v>
      </c>
      <c r="E33" s="29"/>
      <c r="F33" s="29"/>
    </row>
    <row r="34" spans="1:6" s="21" customFormat="1" ht="15" x14ac:dyDescent="0.25">
      <c r="A34" s="26">
        <v>18011100</v>
      </c>
      <c r="B34" s="45" t="s">
        <v>99</v>
      </c>
      <c r="C34" s="28">
        <f t="shared" si="0"/>
        <v>830000</v>
      </c>
      <c r="D34" s="40">
        <v>830000</v>
      </c>
      <c r="E34" s="29"/>
      <c r="F34" s="29"/>
    </row>
    <row r="35" spans="1:6" s="21" customFormat="1" ht="15" x14ac:dyDescent="0.25">
      <c r="A35" s="22">
        <v>1803000</v>
      </c>
      <c r="B35" s="47" t="s">
        <v>100</v>
      </c>
      <c r="C35" s="28">
        <f t="shared" si="0"/>
        <v>350000</v>
      </c>
      <c r="D35" s="28">
        <f>SUM(D36:D37)</f>
        <v>350000</v>
      </c>
      <c r="E35" s="24"/>
      <c r="F35" s="24"/>
    </row>
    <row r="36" spans="1:6" s="21" customFormat="1" ht="15" x14ac:dyDescent="0.25">
      <c r="A36" s="26">
        <v>18030100</v>
      </c>
      <c r="B36" s="45" t="s">
        <v>101</v>
      </c>
      <c r="C36" s="28">
        <f t="shared" si="0"/>
        <v>225000</v>
      </c>
      <c r="D36" s="40">
        <v>225000</v>
      </c>
      <c r="E36" s="29"/>
      <c r="F36" s="29"/>
    </row>
    <row r="37" spans="1:6" s="21" customFormat="1" ht="15" x14ac:dyDescent="0.25">
      <c r="A37" s="26">
        <v>18030200</v>
      </c>
      <c r="B37" s="45" t="s">
        <v>102</v>
      </c>
      <c r="C37" s="28">
        <f t="shared" si="0"/>
        <v>125000</v>
      </c>
      <c r="D37" s="40">
        <v>125000</v>
      </c>
      <c r="E37" s="29"/>
      <c r="F37" s="29"/>
    </row>
    <row r="38" spans="1:6" s="21" customFormat="1" ht="15" x14ac:dyDescent="0.25">
      <c r="A38" s="22">
        <v>18050000</v>
      </c>
      <c r="B38" s="43" t="s">
        <v>103</v>
      </c>
      <c r="C38" s="28">
        <f t="shared" si="0"/>
        <v>316885000</v>
      </c>
      <c r="D38" s="28">
        <f>SUM(D39:D40)</f>
        <v>316885000</v>
      </c>
      <c r="E38" s="29"/>
      <c r="F38" s="29"/>
    </row>
    <row r="39" spans="1:6" s="21" customFormat="1" ht="17.45" customHeight="1" x14ac:dyDescent="0.25">
      <c r="A39" s="26">
        <v>18050300</v>
      </c>
      <c r="B39" s="34" t="s">
        <v>104</v>
      </c>
      <c r="C39" s="28">
        <f t="shared" si="0"/>
        <v>54250000</v>
      </c>
      <c r="D39" s="40">
        <v>54250000</v>
      </c>
      <c r="E39" s="29"/>
      <c r="F39" s="29"/>
    </row>
    <row r="40" spans="1:6" s="25" customFormat="1" ht="15" x14ac:dyDescent="0.2">
      <c r="A40" s="26">
        <v>18050400</v>
      </c>
      <c r="B40" s="45" t="s">
        <v>105</v>
      </c>
      <c r="C40" s="28">
        <f t="shared" si="0"/>
        <v>262635000</v>
      </c>
      <c r="D40" s="40">
        <v>262635000</v>
      </c>
      <c r="E40" s="29"/>
      <c r="F40" s="29"/>
    </row>
    <row r="41" spans="1:6" s="21" customFormat="1" ht="15" x14ac:dyDescent="0.25">
      <c r="A41" s="22">
        <v>1901000</v>
      </c>
      <c r="B41" s="42" t="s">
        <v>106</v>
      </c>
      <c r="C41" s="28">
        <f t="shared" si="0"/>
        <v>500000</v>
      </c>
      <c r="D41" s="28">
        <f>SUM(D42:D44)</f>
        <v>0</v>
      </c>
      <c r="E41" s="24">
        <v>500000</v>
      </c>
      <c r="F41" s="24"/>
    </row>
    <row r="42" spans="1:6" s="21" customFormat="1" ht="36" x14ac:dyDescent="0.25">
      <c r="A42" s="26">
        <v>19010100</v>
      </c>
      <c r="B42" s="34" t="s">
        <v>107</v>
      </c>
      <c r="C42" s="28">
        <f t="shared" si="0"/>
        <v>205000</v>
      </c>
      <c r="D42" s="40"/>
      <c r="E42" s="29">
        <v>205000</v>
      </c>
      <c r="F42" s="29"/>
    </row>
    <row r="43" spans="1:6" s="41" customFormat="1" ht="24" x14ac:dyDescent="0.2">
      <c r="A43" s="26">
        <v>19010200</v>
      </c>
      <c r="B43" s="34" t="s">
        <v>108</v>
      </c>
      <c r="C43" s="28">
        <f t="shared" si="0"/>
        <v>110000</v>
      </c>
      <c r="D43" s="40"/>
      <c r="E43" s="29">
        <v>110000</v>
      </c>
      <c r="F43" s="29"/>
    </row>
    <row r="44" spans="1:6" s="21" customFormat="1" ht="36" x14ac:dyDescent="0.25">
      <c r="A44" s="26">
        <v>19010300</v>
      </c>
      <c r="B44" s="34" t="s">
        <v>109</v>
      </c>
      <c r="C44" s="28">
        <f t="shared" si="0"/>
        <v>185000</v>
      </c>
      <c r="D44" s="40"/>
      <c r="E44" s="29">
        <v>185000</v>
      </c>
      <c r="F44" s="29"/>
    </row>
    <row r="45" spans="1:6" s="21" customFormat="1" ht="15" x14ac:dyDescent="0.25">
      <c r="A45" s="22">
        <v>20000000</v>
      </c>
      <c r="B45" s="23" t="s">
        <v>110</v>
      </c>
      <c r="C45" s="24">
        <f t="shared" si="0"/>
        <v>210389434</v>
      </c>
      <c r="D45" s="24">
        <f>SUM(D46,D47,D48,D51,D52,D60,D64)</f>
        <v>49730000</v>
      </c>
      <c r="E45" s="24">
        <f>SUM(E46,E52,E60,E57,E64)</f>
        <v>160659434</v>
      </c>
      <c r="F45" s="24">
        <f>SUM(F46,F52,F60,F57)</f>
        <v>14000000</v>
      </c>
    </row>
    <row r="46" spans="1:6" s="21" customFormat="1" ht="41.25" customHeight="1" x14ac:dyDescent="0.25">
      <c r="A46" s="26">
        <v>21010300</v>
      </c>
      <c r="B46" s="48" t="s">
        <v>111</v>
      </c>
      <c r="C46" s="28">
        <f t="shared" si="0"/>
        <v>1500000</v>
      </c>
      <c r="D46" s="40">
        <v>1500000</v>
      </c>
      <c r="E46" s="29"/>
      <c r="F46" s="29"/>
    </row>
    <row r="47" spans="1:6" s="21" customFormat="1" ht="27" customHeight="1" x14ac:dyDescent="0.25">
      <c r="A47" s="26">
        <v>21050000</v>
      </c>
      <c r="B47" s="48" t="s">
        <v>112</v>
      </c>
      <c r="C47" s="28">
        <f t="shared" si="0"/>
        <v>2500000</v>
      </c>
      <c r="D47" s="40">
        <v>2500000</v>
      </c>
      <c r="E47" s="29"/>
      <c r="F47" s="29"/>
    </row>
    <row r="48" spans="1:6" s="41" customFormat="1" ht="27" x14ac:dyDescent="0.2">
      <c r="A48" s="49">
        <v>21800000</v>
      </c>
      <c r="B48" s="50" t="s">
        <v>113</v>
      </c>
      <c r="C48" s="28">
        <f>SUM(D48,E48)</f>
        <v>2350000</v>
      </c>
      <c r="D48" s="32">
        <f>SUM(D49:D50)</f>
        <v>2350000</v>
      </c>
      <c r="E48" s="32"/>
      <c r="F48" s="32"/>
    </row>
    <row r="49" spans="1:6" s="21" customFormat="1" ht="15" x14ac:dyDescent="0.25">
      <c r="A49" s="33">
        <v>21081100</v>
      </c>
      <c r="B49" s="51" t="s">
        <v>114</v>
      </c>
      <c r="C49" s="28">
        <f>SUM(D49,E49)</f>
        <v>1730000</v>
      </c>
      <c r="D49" s="40">
        <v>1730000</v>
      </c>
      <c r="E49" s="29"/>
      <c r="F49" s="29"/>
    </row>
    <row r="50" spans="1:6" s="21" customFormat="1" ht="36" x14ac:dyDescent="0.25">
      <c r="A50" s="26">
        <v>21081500</v>
      </c>
      <c r="B50" s="34" t="s">
        <v>115</v>
      </c>
      <c r="C50" s="28">
        <f>SUM(D50,E50)</f>
        <v>620000</v>
      </c>
      <c r="D50" s="40">
        <v>620000</v>
      </c>
      <c r="E50" s="29"/>
      <c r="F50" s="29"/>
    </row>
    <row r="51" spans="1:6" s="115" customFormat="1" ht="15" x14ac:dyDescent="0.25">
      <c r="A51" s="114">
        <v>21081700</v>
      </c>
      <c r="B51" s="133" t="s">
        <v>464</v>
      </c>
      <c r="C51" s="32">
        <f>SUM(D51,E51)</f>
        <v>8100000</v>
      </c>
      <c r="D51" s="32">
        <v>8100000</v>
      </c>
      <c r="E51" s="44"/>
      <c r="F51" s="44"/>
    </row>
    <row r="52" spans="1:6" s="21" customFormat="1" ht="27" x14ac:dyDescent="0.25">
      <c r="A52" s="22">
        <v>22000000</v>
      </c>
      <c r="B52" s="31" t="s">
        <v>116</v>
      </c>
      <c r="C52" s="28">
        <f t="shared" si="0"/>
        <v>32280000</v>
      </c>
      <c r="D52" s="40">
        <f>SUM(D53:D57)</f>
        <v>32280000</v>
      </c>
      <c r="E52" s="29"/>
      <c r="F52" s="29"/>
    </row>
    <row r="53" spans="1:6" s="21" customFormat="1" ht="38.25" x14ac:dyDescent="0.25">
      <c r="A53" s="26">
        <v>22010300</v>
      </c>
      <c r="B53" s="52" t="s">
        <v>189</v>
      </c>
      <c r="C53" s="28">
        <f t="shared" si="0"/>
        <v>1350000</v>
      </c>
      <c r="D53" s="40">
        <v>1350000</v>
      </c>
      <c r="E53" s="29"/>
      <c r="F53" s="29"/>
    </row>
    <row r="54" spans="1:6" s="21" customFormat="1" ht="25.5" x14ac:dyDescent="0.25">
      <c r="A54" s="26">
        <v>22012600</v>
      </c>
      <c r="B54" s="52" t="s">
        <v>117</v>
      </c>
      <c r="C54" s="28">
        <f t="shared" si="0"/>
        <v>1100000</v>
      </c>
      <c r="D54" s="40">
        <v>1100000</v>
      </c>
      <c r="E54" s="29"/>
      <c r="F54" s="29"/>
    </row>
    <row r="55" spans="1:6" s="53" customFormat="1" ht="15" x14ac:dyDescent="0.2">
      <c r="A55" s="26">
        <v>22012500</v>
      </c>
      <c r="B55" s="34" t="s">
        <v>118</v>
      </c>
      <c r="C55" s="28">
        <f t="shared" si="0"/>
        <v>20350000</v>
      </c>
      <c r="D55" s="40">
        <v>20350000</v>
      </c>
      <c r="E55" s="29"/>
      <c r="F55" s="29"/>
    </row>
    <row r="56" spans="1:6" s="21" customFormat="1" ht="36" x14ac:dyDescent="0.25">
      <c r="A56" s="33">
        <v>22080400</v>
      </c>
      <c r="B56" s="51" t="s">
        <v>119</v>
      </c>
      <c r="C56" s="28">
        <f t="shared" si="0"/>
        <v>8580000</v>
      </c>
      <c r="D56" s="40">
        <v>8580000</v>
      </c>
      <c r="E56" s="29"/>
      <c r="F56" s="29"/>
    </row>
    <row r="57" spans="1:6" s="21" customFormat="1" ht="15" x14ac:dyDescent="0.25">
      <c r="A57" s="54">
        <v>22090000</v>
      </c>
      <c r="B57" s="55" t="s">
        <v>120</v>
      </c>
      <c r="C57" s="28">
        <f t="shared" si="0"/>
        <v>900000</v>
      </c>
      <c r="D57" s="28">
        <f>SUM(D58:D59)</f>
        <v>900000</v>
      </c>
      <c r="E57" s="56"/>
      <c r="F57" s="56"/>
    </row>
    <row r="58" spans="1:6" s="21" customFormat="1" ht="36" x14ac:dyDescent="0.25">
      <c r="A58" s="33">
        <v>22090100</v>
      </c>
      <c r="B58" s="45" t="s">
        <v>121</v>
      </c>
      <c r="C58" s="28">
        <f t="shared" si="0"/>
        <v>550000</v>
      </c>
      <c r="D58" s="40">
        <v>550000</v>
      </c>
      <c r="E58" s="29"/>
      <c r="F58" s="29"/>
    </row>
    <row r="59" spans="1:6" s="30" customFormat="1" ht="36" x14ac:dyDescent="0.2">
      <c r="A59" s="33">
        <v>22090400</v>
      </c>
      <c r="B59" s="45" t="s">
        <v>122</v>
      </c>
      <c r="C59" s="28">
        <f t="shared" si="0"/>
        <v>350000</v>
      </c>
      <c r="D59" s="40">
        <v>350000</v>
      </c>
      <c r="E59" s="29"/>
      <c r="F59" s="29"/>
    </row>
    <row r="60" spans="1:6" s="21" customFormat="1" ht="15" x14ac:dyDescent="0.25">
      <c r="A60" s="22">
        <v>24000000</v>
      </c>
      <c r="B60" s="55" t="s">
        <v>123</v>
      </c>
      <c r="C60" s="24">
        <f t="shared" si="0"/>
        <v>17000000</v>
      </c>
      <c r="D60" s="36">
        <f>D61+D62+D63</f>
        <v>3000000</v>
      </c>
      <c r="E60" s="36">
        <f>E61+E63</f>
        <v>14000000</v>
      </c>
      <c r="F60" s="24">
        <v>14000000</v>
      </c>
    </row>
    <row r="61" spans="1:6" s="21" customFormat="1" ht="15" x14ac:dyDescent="0.25">
      <c r="A61" s="33">
        <v>24060300</v>
      </c>
      <c r="B61" s="34" t="s">
        <v>124</v>
      </c>
      <c r="C61" s="28">
        <f t="shared" si="0"/>
        <v>1000000</v>
      </c>
      <c r="D61" s="200">
        <v>1000000</v>
      </c>
      <c r="E61" s="200"/>
      <c r="F61" s="200"/>
    </row>
    <row r="62" spans="1:6" s="21" customFormat="1" ht="60" x14ac:dyDescent="0.25">
      <c r="A62" s="33">
        <v>24062200</v>
      </c>
      <c r="B62" s="34" t="s">
        <v>465</v>
      </c>
      <c r="C62" s="28">
        <f t="shared" si="0"/>
        <v>2000000</v>
      </c>
      <c r="D62" s="200">
        <v>2000000</v>
      </c>
      <c r="E62" s="200"/>
      <c r="F62" s="200"/>
    </row>
    <row r="63" spans="1:6" s="25" customFormat="1" ht="24" x14ac:dyDescent="0.2">
      <c r="A63" s="33">
        <v>24170000</v>
      </c>
      <c r="B63" s="38" t="s">
        <v>125</v>
      </c>
      <c r="C63" s="28">
        <f t="shared" si="0"/>
        <v>14000000</v>
      </c>
      <c r="D63" s="200"/>
      <c r="E63" s="200">
        <v>14000000</v>
      </c>
      <c r="F63" s="200">
        <v>14000000</v>
      </c>
    </row>
    <row r="64" spans="1:6" s="21" customFormat="1" ht="15" x14ac:dyDescent="0.25">
      <c r="A64" s="22">
        <v>25000000</v>
      </c>
      <c r="B64" s="27" t="s">
        <v>126</v>
      </c>
      <c r="C64" s="28">
        <f t="shared" si="0"/>
        <v>146659434</v>
      </c>
      <c r="D64" s="199">
        <f>SUM(D65,D70)</f>
        <v>0</v>
      </c>
      <c r="E64" s="199">
        <f>SUM(E65,E70)</f>
        <v>146659434</v>
      </c>
      <c r="F64" s="199"/>
    </row>
    <row r="65" spans="1:6" s="21" customFormat="1" ht="38.25" x14ac:dyDescent="0.25">
      <c r="A65" s="26">
        <v>25010000</v>
      </c>
      <c r="B65" s="57" t="s">
        <v>127</v>
      </c>
      <c r="C65" s="28">
        <f t="shared" si="0"/>
        <v>146659434</v>
      </c>
      <c r="D65" s="200">
        <v>0</v>
      </c>
      <c r="E65" s="200">
        <f>SUM(E66:E69)</f>
        <v>146659434</v>
      </c>
      <c r="F65" s="200"/>
    </row>
    <row r="66" spans="1:6" s="21" customFormat="1" ht="25.5" x14ac:dyDescent="0.25">
      <c r="A66" s="26">
        <v>25010100</v>
      </c>
      <c r="B66" s="58" t="s">
        <v>128</v>
      </c>
      <c r="C66" s="28">
        <f t="shared" si="0"/>
        <v>134316911</v>
      </c>
      <c r="D66" s="200">
        <v>0</v>
      </c>
      <c r="E66" s="200">
        <v>134316911</v>
      </c>
      <c r="F66" s="200"/>
    </row>
    <row r="67" spans="1:6" s="21" customFormat="1" ht="25.5" x14ac:dyDescent="0.25">
      <c r="A67" s="26">
        <v>25010200</v>
      </c>
      <c r="B67" s="58" t="s">
        <v>129</v>
      </c>
      <c r="C67" s="28">
        <f t="shared" si="0"/>
        <v>9860214</v>
      </c>
      <c r="D67" s="200">
        <v>0</v>
      </c>
      <c r="E67" s="200">
        <v>9860214</v>
      </c>
      <c r="F67" s="200"/>
    </row>
    <row r="68" spans="1:6" s="21" customFormat="1" ht="15" x14ac:dyDescent="0.25">
      <c r="A68" s="26">
        <v>25010300</v>
      </c>
      <c r="B68" s="58" t="s">
        <v>130</v>
      </c>
      <c r="C68" s="28">
        <f t="shared" si="0"/>
        <v>2051179</v>
      </c>
      <c r="D68" s="200">
        <v>0</v>
      </c>
      <c r="E68" s="200">
        <v>2051179</v>
      </c>
      <c r="F68" s="200"/>
    </row>
    <row r="69" spans="1:6" s="21" customFormat="1" ht="38.25" x14ac:dyDescent="0.25">
      <c r="A69" s="26">
        <v>25010400</v>
      </c>
      <c r="B69" s="58" t="s">
        <v>131</v>
      </c>
      <c r="C69" s="28">
        <f t="shared" si="0"/>
        <v>431130</v>
      </c>
      <c r="D69" s="200">
        <v>0</v>
      </c>
      <c r="E69" s="200">
        <v>431130</v>
      </c>
      <c r="F69" s="200"/>
    </row>
    <row r="70" spans="1:6" s="21" customFormat="1" ht="28.5" x14ac:dyDescent="0.25">
      <c r="A70" s="26">
        <v>25020000</v>
      </c>
      <c r="B70" s="57" t="s">
        <v>132</v>
      </c>
      <c r="C70" s="28">
        <f t="shared" si="0"/>
        <v>0</v>
      </c>
      <c r="D70" s="200">
        <v>0</v>
      </c>
      <c r="E70" s="200">
        <v>0</v>
      </c>
      <c r="F70" s="200"/>
    </row>
    <row r="71" spans="1:6" s="41" customFormat="1" ht="15" x14ac:dyDescent="0.2">
      <c r="A71" s="26">
        <v>25020100</v>
      </c>
      <c r="B71" s="58" t="s">
        <v>133</v>
      </c>
      <c r="C71" s="28">
        <f t="shared" si="0"/>
        <v>0</v>
      </c>
      <c r="D71" s="200">
        <v>0</v>
      </c>
      <c r="E71" s="200">
        <v>0</v>
      </c>
      <c r="F71" s="200"/>
    </row>
    <row r="72" spans="1:6" s="21" customFormat="1" ht="89.25" hidden="1" x14ac:dyDescent="0.25">
      <c r="A72" s="26">
        <v>25020200</v>
      </c>
      <c r="B72" s="58" t="s">
        <v>134</v>
      </c>
      <c r="C72" s="28">
        <f t="shared" si="0"/>
        <v>0</v>
      </c>
      <c r="D72" s="200"/>
      <c r="E72" s="200">
        <v>0</v>
      </c>
      <c r="F72" s="200"/>
    </row>
    <row r="73" spans="1:6" s="30" customFormat="1" ht="14.25" x14ac:dyDescent="0.2">
      <c r="A73" s="22">
        <v>30000000</v>
      </c>
      <c r="B73" s="23" t="s">
        <v>135</v>
      </c>
      <c r="C73" s="24">
        <f t="shared" si="0"/>
        <v>6303064</v>
      </c>
      <c r="D73" s="36">
        <f>SUM(D74)</f>
        <v>60000</v>
      </c>
      <c r="E73" s="36">
        <f>SUM(E74,E77)</f>
        <v>6243064</v>
      </c>
      <c r="F73" s="36">
        <f>SUM(F74,F77)</f>
        <v>6243064</v>
      </c>
    </row>
    <row r="74" spans="1:6" s="21" customFormat="1" ht="30" x14ac:dyDescent="0.25">
      <c r="A74" s="26">
        <v>31000000</v>
      </c>
      <c r="B74" s="59" t="s">
        <v>136</v>
      </c>
      <c r="C74" s="28">
        <f t="shared" si="0"/>
        <v>560000</v>
      </c>
      <c r="D74" s="32">
        <v>60000</v>
      </c>
      <c r="E74" s="32">
        <f>SUM(E76)</f>
        <v>500000</v>
      </c>
      <c r="F74" s="32">
        <f>SUM(F76)</f>
        <v>500000</v>
      </c>
    </row>
    <row r="75" spans="1:6" s="21" customFormat="1" ht="60" x14ac:dyDescent="0.25">
      <c r="A75" s="33">
        <v>31010200</v>
      </c>
      <c r="B75" s="38" t="s">
        <v>137</v>
      </c>
      <c r="C75" s="28">
        <f>SUM(D75,E75)</f>
        <v>60000</v>
      </c>
      <c r="D75" s="200">
        <v>60000</v>
      </c>
      <c r="E75" s="200"/>
      <c r="F75" s="200"/>
    </row>
    <row r="76" spans="1:6" s="21" customFormat="1" ht="36" x14ac:dyDescent="0.25">
      <c r="A76" s="33">
        <v>31030000</v>
      </c>
      <c r="B76" s="60" t="s">
        <v>138</v>
      </c>
      <c r="C76" s="28">
        <f t="shared" si="0"/>
        <v>500000</v>
      </c>
      <c r="D76" s="40"/>
      <c r="E76" s="40">
        <v>500000</v>
      </c>
      <c r="F76" s="40">
        <v>500000</v>
      </c>
    </row>
    <row r="77" spans="1:6" s="21" customFormat="1" ht="30" x14ac:dyDescent="0.25">
      <c r="A77" s="26">
        <v>33000000</v>
      </c>
      <c r="B77" s="59" t="s">
        <v>139</v>
      </c>
      <c r="C77" s="28">
        <f t="shared" si="0"/>
        <v>5743064</v>
      </c>
      <c r="D77" s="32"/>
      <c r="E77" s="32">
        <f>SUM(E78)</f>
        <v>5743064</v>
      </c>
      <c r="F77" s="32">
        <f>SUM(F78)</f>
        <v>5743064</v>
      </c>
    </row>
    <row r="78" spans="1:6" s="21" customFormat="1" ht="15" x14ac:dyDescent="0.25">
      <c r="A78" s="26">
        <v>33010000</v>
      </c>
      <c r="B78" s="59" t="s">
        <v>140</v>
      </c>
      <c r="C78" s="28">
        <f t="shared" si="0"/>
        <v>5743064</v>
      </c>
      <c r="D78" s="40"/>
      <c r="E78" s="40">
        <f>SUM(E79,E80)</f>
        <v>5743064</v>
      </c>
      <c r="F78" s="40">
        <f>SUM(F79,F80)</f>
        <v>5743064</v>
      </c>
    </row>
    <row r="79" spans="1:6" s="21" customFormat="1" ht="48" x14ac:dyDescent="0.25">
      <c r="A79" s="26">
        <v>33010100</v>
      </c>
      <c r="B79" s="60" t="s">
        <v>419</v>
      </c>
      <c r="C79" s="28">
        <f t="shared" si="0"/>
        <v>2969979</v>
      </c>
      <c r="D79" s="40"/>
      <c r="E79" s="40">
        <v>2969979</v>
      </c>
      <c r="F79" s="40">
        <v>2969979</v>
      </c>
    </row>
    <row r="80" spans="1:6" s="21" customFormat="1" ht="48" x14ac:dyDescent="0.25">
      <c r="A80" s="26">
        <v>33010200</v>
      </c>
      <c r="B80" s="60" t="s">
        <v>141</v>
      </c>
      <c r="C80" s="28">
        <f t="shared" ref="C80:C90" si="1">SUM(D80,E80)</f>
        <v>2773085</v>
      </c>
      <c r="D80" s="40"/>
      <c r="E80" s="40">
        <v>2773085</v>
      </c>
      <c r="F80" s="40">
        <v>2773085</v>
      </c>
    </row>
    <row r="81" spans="1:6" s="21" customFormat="1" ht="18.75" x14ac:dyDescent="0.25">
      <c r="A81" s="22">
        <v>50000000</v>
      </c>
      <c r="B81" s="62" t="s">
        <v>694</v>
      </c>
      <c r="C81" s="28">
        <f t="shared" si="1"/>
        <v>2787633.18</v>
      </c>
      <c r="D81" s="40"/>
      <c r="E81" s="28">
        <v>2787633.18</v>
      </c>
      <c r="F81" s="40"/>
    </row>
    <row r="82" spans="1:6" s="21" customFormat="1" ht="53.45" customHeight="1" x14ac:dyDescent="0.25">
      <c r="A82" s="22">
        <v>50110000</v>
      </c>
      <c r="B82" s="61" t="s">
        <v>142</v>
      </c>
      <c r="C82" s="28">
        <f t="shared" si="1"/>
        <v>2787633.18</v>
      </c>
      <c r="D82" s="40"/>
      <c r="E82" s="28">
        <v>2787633.18</v>
      </c>
      <c r="F82" s="40"/>
    </row>
    <row r="83" spans="1:6" s="25" customFormat="1" ht="30.75" customHeight="1" x14ac:dyDescent="0.2">
      <c r="A83" s="22"/>
      <c r="B83" s="106" t="s">
        <v>695</v>
      </c>
      <c r="C83" s="272">
        <f t="shared" si="1"/>
        <v>2071192494.1800001</v>
      </c>
      <c r="D83" s="273">
        <f>D11+D45+D73</f>
        <v>1901002363</v>
      </c>
      <c r="E83" s="273">
        <f>E11+E45+E73+E82</f>
        <v>170190131.18000001</v>
      </c>
      <c r="F83" s="273">
        <f>F11+F45+F64+F73</f>
        <v>20243064</v>
      </c>
    </row>
    <row r="84" spans="1:6" s="25" customFormat="1" ht="15.75" x14ac:dyDescent="0.2">
      <c r="A84" s="22">
        <v>4000000</v>
      </c>
      <c r="B84" s="106" t="s">
        <v>539</v>
      </c>
      <c r="C84" s="272">
        <f t="shared" si="1"/>
        <v>540926133</v>
      </c>
      <c r="D84" s="273">
        <f>SUM(D85,D87)</f>
        <v>540926133</v>
      </c>
      <c r="E84" s="36">
        <v>0</v>
      </c>
      <c r="F84" s="36">
        <v>0</v>
      </c>
    </row>
    <row r="85" spans="1:6" s="25" customFormat="1" ht="31.5" x14ac:dyDescent="0.2">
      <c r="A85" s="22">
        <v>41040000</v>
      </c>
      <c r="B85" s="106" t="s">
        <v>421</v>
      </c>
      <c r="C85" s="24">
        <f t="shared" si="1"/>
        <v>9230100</v>
      </c>
      <c r="D85" s="36">
        <v>9230100</v>
      </c>
      <c r="E85" s="36"/>
      <c r="F85" s="36"/>
    </row>
    <row r="86" spans="1:6" s="25" customFormat="1" ht="57" customHeight="1" x14ac:dyDescent="0.2">
      <c r="A86" s="26">
        <v>41040200</v>
      </c>
      <c r="B86" s="466" t="s">
        <v>420</v>
      </c>
      <c r="C86" s="24">
        <f t="shared" si="1"/>
        <v>9230100</v>
      </c>
      <c r="D86" s="36">
        <v>9230100</v>
      </c>
      <c r="E86" s="36"/>
      <c r="F86" s="36"/>
    </row>
    <row r="87" spans="1:6" s="25" customFormat="1" ht="14.25" x14ac:dyDescent="0.2">
      <c r="A87" s="22">
        <v>40000000</v>
      </c>
      <c r="B87" s="42" t="s">
        <v>143</v>
      </c>
      <c r="C87" s="24">
        <f t="shared" si="1"/>
        <v>531696033</v>
      </c>
      <c r="D87" s="36">
        <f>SUM(D88,D91)</f>
        <v>531696033</v>
      </c>
      <c r="E87" s="36">
        <f>SUM(E88)</f>
        <v>0</v>
      </c>
      <c r="F87" s="24">
        <v>0</v>
      </c>
    </row>
    <row r="88" spans="1:6" s="25" customFormat="1" ht="28.5" x14ac:dyDescent="0.2">
      <c r="A88" s="22">
        <v>4103000</v>
      </c>
      <c r="B88" s="42" t="s">
        <v>579</v>
      </c>
      <c r="C88" s="24">
        <f t="shared" si="1"/>
        <v>500998000</v>
      </c>
      <c r="D88" s="36">
        <f>SUM(D89:D90)</f>
        <v>500998000</v>
      </c>
      <c r="E88" s="36"/>
      <c r="F88" s="24"/>
    </row>
    <row r="89" spans="1:6" s="25" customFormat="1" ht="25.5" x14ac:dyDescent="0.2">
      <c r="A89" s="26">
        <v>41033900</v>
      </c>
      <c r="B89" s="52" t="s">
        <v>144</v>
      </c>
      <c r="C89" s="24">
        <f t="shared" si="1"/>
        <v>448255300</v>
      </c>
      <c r="D89" s="29">
        <v>448255300</v>
      </c>
      <c r="E89" s="24"/>
      <c r="F89" s="24"/>
    </row>
    <row r="90" spans="1:6" s="25" customFormat="1" ht="25.5" x14ac:dyDescent="0.2">
      <c r="A90" s="26">
        <v>41034200</v>
      </c>
      <c r="B90" s="52" t="s">
        <v>145</v>
      </c>
      <c r="C90" s="24">
        <f t="shared" si="1"/>
        <v>52742700</v>
      </c>
      <c r="D90" s="29">
        <v>52742700</v>
      </c>
      <c r="E90" s="24"/>
      <c r="F90" s="24"/>
    </row>
    <row r="91" spans="1:6" s="25" customFormat="1" ht="28.5" x14ac:dyDescent="0.2">
      <c r="A91" s="22">
        <v>41050000</v>
      </c>
      <c r="B91" s="42" t="s">
        <v>671</v>
      </c>
      <c r="C91" s="24">
        <f>SUM(D91,E91)</f>
        <v>30698033</v>
      </c>
      <c r="D91" s="24">
        <f>SUM(D92:D96,D100)</f>
        <v>30698033</v>
      </c>
      <c r="E91" s="24"/>
      <c r="F91" s="24"/>
    </row>
    <row r="92" spans="1:6" s="25" customFormat="1" ht="38.25" x14ac:dyDescent="0.2">
      <c r="A92" s="26">
        <v>41051000</v>
      </c>
      <c r="B92" s="52" t="s">
        <v>672</v>
      </c>
      <c r="C92" s="24">
        <f t="shared" ref="C92:C101" si="2">SUM(D92,E92)</f>
        <v>7116040</v>
      </c>
      <c r="D92" s="29">
        <v>7116040</v>
      </c>
      <c r="E92" s="24"/>
      <c r="F92" s="24"/>
    </row>
    <row r="93" spans="1:6" s="25" customFormat="1" ht="51" x14ac:dyDescent="0.2">
      <c r="A93" s="26">
        <v>41051200</v>
      </c>
      <c r="B93" s="52" t="s">
        <v>673</v>
      </c>
      <c r="C93" s="24">
        <f t="shared" si="2"/>
        <v>6140049</v>
      </c>
      <c r="D93" s="29">
        <v>6140049</v>
      </c>
      <c r="E93" s="24"/>
      <c r="F93" s="24"/>
    </row>
    <row r="94" spans="1:6" s="25" customFormat="1" ht="38.25" customHeight="1" x14ac:dyDescent="0.2">
      <c r="A94" s="26">
        <v>41051400</v>
      </c>
      <c r="B94" s="52" t="s">
        <v>870</v>
      </c>
      <c r="C94" s="24">
        <f t="shared" si="2"/>
        <v>5697426</v>
      </c>
      <c r="D94" s="29">
        <v>5697426</v>
      </c>
      <c r="E94" s="24"/>
      <c r="F94" s="24"/>
    </row>
    <row r="95" spans="1:6" s="25" customFormat="1" ht="38.25" x14ac:dyDescent="0.2">
      <c r="A95" s="26">
        <v>41051500</v>
      </c>
      <c r="B95" s="52" t="s">
        <v>674</v>
      </c>
      <c r="C95" s="24">
        <f t="shared" si="2"/>
        <v>4328800</v>
      </c>
      <c r="D95" s="29">
        <v>4328800</v>
      </c>
      <c r="E95" s="24"/>
      <c r="F95" s="24"/>
    </row>
    <row r="96" spans="1:6" s="25" customFormat="1" ht="21.75" customHeight="1" x14ac:dyDescent="0.2">
      <c r="A96" s="26">
        <v>41053900</v>
      </c>
      <c r="B96" s="52" t="s">
        <v>675</v>
      </c>
      <c r="C96" s="24">
        <f t="shared" si="2"/>
        <v>608818</v>
      </c>
      <c r="D96" s="29">
        <f>SUM(D97:D99)</f>
        <v>608818</v>
      </c>
      <c r="E96" s="24"/>
      <c r="F96" s="24"/>
    </row>
    <row r="97" spans="1:6" s="25" customFormat="1" ht="38.25" x14ac:dyDescent="0.2">
      <c r="A97" s="26"/>
      <c r="B97" s="52" t="s">
        <v>676</v>
      </c>
      <c r="C97" s="24">
        <f t="shared" si="2"/>
        <v>194834</v>
      </c>
      <c r="D97" s="29">
        <v>194834</v>
      </c>
      <c r="E97" s="24"/>
      <c r="F97" s="24"/>
    </row>
    <row r="98" spans="1:6" s="25" customFormat="1" ht="38.25" x14ac:dyDescent="0.2">
      <c r="A98" s="26"/>
      <c r="B98" s="52" t="s">
        <v>677</v>
      </c>
      <c r="C98" s="24">
        <f t="shared" si="2"/>
        <v>164029</v>
      </c>
      <c r="D98" s="29">
        <v>164029</v>
      </c>
      <c r="E98" s="24"/>
      <c r="F98" s="24"/>
    </row>
    <row r="99" spans="1:6" s="25" customFormat="1" ht="25.5" x14ac:dyDescent="0.2">
      <c r="A99" s="26"/>
      <c r="B99" s="52" t="s">
        <v>678</v>
      </c>
      <c r="C99" s="24">
        <f t="shared" si="2"/>
        <v>249955</v>
      </c>
      <c r="D99" s="29">
        <v>249955</v>
      </c>
      <c r="E99" s="24"/>
      <c r="F99" s="24"/>
    </row>
    <row r="100" spans="1:6" s="25" customFormat="1" ht="51" x14ac:dyDescent="0.2">
      <c r="A100" s="26">
        <v>41055000</v>
      </c>
      <c r="B100" s="52" t="s">
        <v>871</v>
      </c>
      <c r="C100" s="24">
        <f t="shared" si="2"/>
        <v>6806900</v>
      </c>
      <c r="D100" s="29">
        <v>6806900</v>
      </c>
      <c r="E100" s="24"/>
      <c r="F100" s="24"/>
    </row>
    <row r="101" spans="1:6" s="65" customFormat="1" ht="20.25" x14ac:dyDescent="0.25">
      <c r="A101" s="63"/>
      <c r="B101" s="64" t="s">
        <v>696</v>
      </c>
      <c r="C101" s="24">
        <f t="shared" si="2"/>
        <v>2612118627.1799998</v>
      </c>
      <c r="D101" s="36">
        <f>SUM(D83,D85,D87)</f>
        <v>2441928496</v>
      </c>
      <c r="E101" s="36">
        <f>SUM(E83,E87)</f>
        <v>170190131.18000001</v>
      </c>
      <c r="F101" s="36">
        <f>SUM(F83,F87)</f>
        <v>20243064</v>
      </c>
    </row>
    <row r="103" spans="1:6" ht="15" hidden="1" customHeight="1" x14ac:dyDescent="0.25">
      <c r="B103" s="132"/>
      <c r="E103" s="132"/>
    </row>
    <row r="104" spans="1:6" ht="1.5" hidden="1" customHeight="1" x14ac:dyDescent="0.25">
      <c r="B104" s="132"/>
      <c r="E104" s="132"/>
    </row>
    <row r="105" spans="1:6" ht="29.25" customHeight="1" x14ac:dyDescent="0.25">
      <c r="A105" s="65"/>
      <c r="B105" s="132" t="s">
        <v>924</v>
      </c>
      <c r="C105" s="132"/>
      <c r="D105" s="132"/>
      <c r="E105" s="132" t="s">
        <v>923</v>
      </c>
      <c r="F105" s="65"/>
    </row>
    <row r="107" spans="1:6" x14ac:dyDescent="0.2">
      <c r="D107" s="66"/>
    </row>
    <row r="108" spans="1:6" x14ac:dyDescent="0.2">
      <c r="D108" s="67"/>
    </row>
    <row r="151" spans="5:5" ht="18.75" x14ac:dyDescent="0.3">
      <c r="E151" s="93"/>
    </row>
  </sheetData>
  <mergeCells count="10">
    <mergeCell ref="D1:G1"/>
    <mergeCell ref="D2:G2"/>
    <mergeCell ref="D3:G3"/>
    <mergeCell ref="A4:E4"/>
    <mergeCell ref="A5:E5"/>
    <mergeCell ref="A8:A9"/>
    <mergeCell ref="B8:B9"/>
    <mergeCell ref="C8:C9"/>
    <mergeCell ref="D8:D9"/>
    <mergeCell ref="E8:F8"/>
  </mergeCells>
  <hyperlinks>
    <hyperlink ref="B74" location="_ftn1" display="_ftn1"/>
    <hyperlink ref="B73" location="_ftn1" display="_ftn1"/>
    <hyperlink ref="B59" location="_ftn1" display="_ftn1"/>
    <hyperlink ref="B16" location="_ftn1" display="_ftn1"/>
    <hyperlink ref="B15" location="_ftn1" display="_ftn1"/>
    <hyperlink ref="B43" location="_ftn1" display="_ftn1"/>
    <hyperlink ref="B77" location="_ftn1" display="_ftn1"/>
    <hyperlink ref="B78" location="_ftn1" display="_ftn1"/>
    <hyperlink ref="B48" location="_ftn1" display="_ftn1"/>
    <hyperlink ref="B4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5" fitToHeight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Q42"/>
  <sheetViews>
    <sheetView view="pageBreakPreview" zoomScaleSheetLayoutView="100" workbookViewId="0">
      <selection activeCell="F3" sqref="F3"/>
    </sheetView>
  </sheetViews>
  <sheetFormatPr defaultColWidth="9.140625" defaultRowHeight="12.75" x14ac:dyDescent="0.2"/>
  <cols>
    <col min="1" max="1" width="9.7109375" style="142" customWidth="1"/>
    <col min="2" max="3" width="22.140625" style="142" customWidth="1"/>
    <col min="4" max="4" width="14.140625" style="142" customWidth="1"/>
    <col min="5" max="5" width="14" style="142" customWidth="1"/>
    <col min="6" max="6" width="15.42578125" style="142" customWidth="1"/>
    <col min="7" max="7" width="15.140625" style="142" customWidth="1"/>
    <col min="8" max="8" width="16.42578125" style="142" customWidth="1"/>
    <col min="9" max="9" width="8.28515625" style="142" customWidth="1"/>
    <col min="10" max="10" width="9.140625" style="142"/>
    <col min="11" max="11" width="9.7109375" style="142" customWidth="1"/>
    <col min="12" max="12" width="9.140625" style="142"/>
    <col min="13" max="13" width="8.140625" style="142" customWidth="1"/>
    <col min="14" max="16384" width="9.140625" style="142"/>
  </cols>
  <sheetData>
    <row r="1" spans="1:17" x14ac:dyDescent="0.2">
      <c r="F1" s="68" t="s">
        <v>146</v>
      </c>
    </row>
    <row r="2" spans="1:17" x14ac:dyDescent="0.2">
      <c r="F2" s="68" t="s">
        <v>147</v>
      </c>
    </row>
    <row r="3" spans="1:17" x14ac:dyDescent="0.2">
      <c r="F3" s="68" t="s">
        <v>933</v>
      </c>
    </row>
    <row r="5" spans="1:17" ht="18.75" x14ac:dyDescent="0.3">
      <c r="A5" s="499" t="s">
        <v>658</v>
      </c>
      <c r="B5" s="499"/>
      <c r="C5" s="499"/>
      <c r="D5" s="499"/>
      <c r="E5" s="499"/>
      <c r="F5" s="499"/>
    </row>
    <row r="6" spans="1:17" ht="18.75" x14ac:dyDescent="0.3">
      <c r="A6" s="140"/>
      <c r="B6" s="140"/>
      <c r="C6" s="140"/>
      <c r="D6" s="140"/>
      <c r="E6" s="140"/>
      <c r="F6" s="140"/>
    </row>
    <row r="7" spans="1:17" ht="18.75" x14ac:dyDescent="0.3">
      <c r="A7" s="505">
        <v>22201100000</v>
      </c>
      <c r="B7" s="506"/>
      <c r="C7" s="216"/>
      <c r="D7" s="216"/>
      <c r="E7" s="216"/>
      <c r="F7" s="216"/>
    </row>
    <row r="8" spans="1:17" ht="15" customHeight="1" x14ac:dyDescent="0.3">
      <c r="A8" s="503" t="s">
        <v>703</v>
      </c>
      <c r="B8" s="504"/>
      <c r="C8" s="216"/>
      <c r="D8" s="216"/>
      <c r="E8" s="216"/>
      <c r="F8" s="216"/>
    </row>
    <row r="9" spans="1:17" x14ac:dyDescent="0.2">
      <c r="A9" s="225"/>
      <c r="B9" s="225"/>
      <c r="F9" s="134" t="s">
        <v>496</v>
      </c>
    </row>
    <row r="10" spans="1:17" x14ac:dyDescent="0.2">
      <c r="A10" s="500" t="s">
        <v>76</v>
      </c>
      <c r="B10" s="500" t="s">
        <v>470</v>
      </c>
      <c r="C10" s="500" t="s">
        <v>475</v>
      </c>
      <c r="D10" s="501" t="s">
        <v>14</v>
      </c>
      <c r="E10" s="500" t="s">
        <v>67</v>
      </c>
      <c r="F10" s="500"/>
    </row>
    <row r="11" spans="1:17" ht="35.450000000000003" customHeight="1" x14ac:dyDescent="0.2">
      <c r="A11" s="500"/>
      <c r="B11" s="500"/>
      <c r="C11" s="500"/>
      <c r="D11" s="502"/>
      <c r="E11" s="141" t="s">
        <v>476</v>
      </c>
      <c r="F11" s="141" t="s">
        <v>477</v>
      </c>
    </row>
    <row r="12" spans="1:17" x14ac:dyDescent="0.2">
      <c r="A12" s="69">
        <v>1</v>
      </c>
      <c r="B12" s="69">
        <v>2</v>
      </c>
      <c r="C12" s="69">
        <v>3</v>
      </c>
      <c r="D12" s="69">
        <v>4</v>
      </c>
      <c r="E12" s="69">
        <v>5</v>
      </c>
      <c r="F12" s="69">
        <v>6</v>
      </c>
    </row>
    <row r="13" spans="1:17" ht="23.25" customHeight="1" x14ac:dyDescent="0.2">
      <c r="A13" s="494" t="s">
        <v>471</v>
      </c>
      <c r="B13" s="495"/>
      <c r="C13" s="69"/>
      <c r="D13" s="69"/>
      <c r="E13" s="70"/>
      <c r="F13" s="70"/>
    </row>
    <row r="14" spans="1:17" x14ac:dyDescent="0.2">
      <c r="A14" s="71" t="s">
        <v>148</v>
      </c>
      <c r="B14" s="71" t="s">
        <v>149</v>
      </c>
      <c r="C14" s="71">
        <f>D14+E14</f>
        <v>34752094.75999999</v>
      </c>
      <c r="D14" s="71">
        <f>D15+D17</f>
        <v>-218049756.40000001</v>
      </c>
      <c r="E14" s="71">
        <f>E15+E17</f>
        <v>252801851.16</v>
      </c>
      <c r="F14" s="71">
        <f>F15+F17</f>
        <v>251004681.06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</row>
    <row r="15" spans="1:17" ht="16.5" customHeight="1" x14ac:dyDescent="0.2">
      <c r="A15" s="72" t="s">
        <v>150</v>
      </c>
      <c r="B15" s="72" t="s">
        <v>151</v>
      </c>
      <c r="C15" s="144">
        <f>D15+E15</f>
        <v>34752094.759999998</v>
      </c>
      <c r="D15" s="144">
        <v>31313485.949999999</v>
      </c>
      <c r="E15" s="144">
        <v>3438608.81</v>
      </c>
      <c r="F15" s="144">
        <v>1641438.71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</row>
    <row r="16" spans="1:17" ht="18.75" hidden="1" customHeight="1" x14ac:dyDescent="0.2">
      <c r="A16" s="72">
        <v>208200</v>
      </c>
      <c r="B16" s="72" t="s">
        <v>152</v>
      </c>
      <c r="C16" s="144">
        <f>D16+E16</f>
        <v>0</v>
      </c>
      <c r="D16" s="144"/>
      <c r="E16" s="144"/>
      <c r="F16" s="71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</row>
    <row r="17" spans="1:17" ht="51" x14ac:dyDescent="0.2">
      <c r="A17" s="72">
        <v>208400</v>
      </c>
      <c r="B17" s="73" t="s">
        <v>153</v>
      </c>
      <c r="C17" s="326">
        <f>D17+E17</f>
        <v>0</v>
      </c>
      <c r="D17" s="326">
        <v>-249363242.34999999</v>
      </c>
      <c r="E17" s="326">
        <v>249363242.34999999</v>
      </c>
      <c r="F17" s="326">
        <v>249363242.34999999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</row>
    <row r="18" spans="1:17" x14ac:dyDescent="0.2">
      <c r="A18" s="107">
        <v>300000</v>
      </c>
      <c r="B18" s="94" t="s">
        <v>437</v>
      </c>
      <c r="C18" s="326">
        <v>11911692</v>
      </c>
      <c r="D18" s="326">
        <v>0</v>
      </c>
      <c r="E18" s="326">
        <v>11911692</v>
      </c>
      <c r="F18" s="326">
        <v>11911692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</row>
    <row r="19" spans="1:17" ht="38.25" x14ac:dyDescent="0.2">
      <c r="A19" s="107">
        <v>301000</v>
      </c>
      <c r="B19" s="94" t="s">
        <v>438</v>
      </c>
      <c r="C19" s="326">
        <v>0</v>
      </c>
      <c r="D19" s="326">
        <v>0</v>
      </c>
      <c r="E19" s="326">
        <v>0</v>
      </c>
      <c r="F19" s="326">
        <v>0</v>
      </c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x14ac:dyDescent="0.2">
      <c r="A20" s="72">
        <v>301100</v>
      </c>
      <c r="B20" s="73" t="s">
        <v>439</v>
      </c>
      <c r="C20" s="326">
        <v>15744000</v>
      </c>
      <c r="D20" s="326"/>
      <c r="E20" s="326">
        <v>15744000</v>
      </c>
      <c r="F20" s="326">
        <v>15744000</v>
      </c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</row>
    <row r="21" spans="1:17" x14ac:dyDescent="0.2">
      <c r="A21" s="72">
        <v>301200</v>
      </c>
      <c r="B21" s="73" t="s">
        <v>440</v>
      </c>
      <c r="C21" s="326">
        <f>-3832308</f>
        <v>-3832308</v>
      </c>
      <c r="D21" s="326"/>
      <c r="E21" s="326">
        <f>-3832308</f>
        <v>-3832308</v>
      </c>
      <c r="F21" s="326">
        <f>-3832308</f>
        <v>-3832308</v>
      </c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</row>
    <row r="22" spans="1:17" x14ac:dyDescent="0.2">
      <c r="A22" s="107" t="s">
        <v>473</v>
      </c>
      <c r="B22" s="94" t="s">
        <v>472</v>
      </c>
      <c r="C22" s="326">
        <f>-3832308</f>
        <v>-3832308</v>
      </c>
      <c r="D22" s="326"/>
      <c r="E22" s="326">
        <f>-3832308</f>
        <v>-3832308</v>
      </c>
      <c r="F22" s="326">
        <f>-3832308</f>
        <v>-3832308</v>
      </c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</row>
    <row r="23" spans="1:17" ht="35.450000000000003" customHeight="1" x14ac:dyDescent="0.2">
      <c r="A23" s="494" t="s">
        <v>474</v>
      </c>
      <c r="B23" s="496"/>
      <c r="C23" s="326"/>
      <c r="D23" s="326"/>
      <c r="E23" s="326"/>
      <c r="F23" s="326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</row>
    <row r="24" spans="1:17" ht="25.5" x14ac:dyDescent="0.2">
      <c r="A24" s="107">
        <v>400000</v>
      </c>
      <c r="B24" s="94" t="s">
        <v>154</v>
      </c>
      <c r="C24" s="326">
        <v>11911692</v>
      </c>
      <c r="D24" s="326"/>
      <c r="E24" s="326">
        <v>11911692</v>
      </c>
      <c r="F24" s="326">
        <v>11911692</v>
      </c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</row>
    <row r="25" spans="1:17" x14ac:dyDescent="0.2">
      <c r="A25" s="107">
        <v>401000</v>
      </c>
      <c r="B25" s="94" t="s">
        <v>155</v>
      </c>
      <c r="C25" s="326">
        <v>15744000</v>
      </c>
      <c r="D25" s="326"/>
      <c r="E25" s="326">
        <v>15744000</v>
      </c>
      <c r="F25" s="326">
        <v>15744000</v>
      </c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</row>
    <row r="26" spans="1:17" s="2" customFormat="1" x14ac:dyDescent="0.2">
      <c r="A26" s="107">
        <v>401200</v>
      </c>
      <c r="B26" s="94" t="s">
        <v>441</v>
      </c>
      <c r="C26" s="326">
        <v>15744000</v>
      </c>
      <c r="D26" s="326"/>
      <c r="E26" s="326">
        <v>15744000</v>
      </c>
      <c r="F26" s="326">
        <v>15744000</v>
      </c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</row>
    <row r="27" spans="1:17" ht="25.5" x14ac:dyDescent="0.2">
      <c r="A27" s="72">
        <v>401202</v>
      </c>
      <c r="B27" s="73" t="s">
        <v>442</v>
      </c>
      <c r="C27" s="327">
        <v>0</v>
      </c>
      <c r="D27" s="326"/>
      <c r="E27" s="327">
        <v>0</v>
      </c>
      <c r="F27" s="327">
        <v>0</v>
      </c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</row>
    <row r="28" spans="1:17" s="2" customFormat="1" x14ac:dyDescent="0.2">
      <c r="A28" s="107">
        <v>402000</v>
      </c>
      <c r="B28" s="94" t="s">
        <v>443</v>
      </c>
      <c r="C28" s="326">
        <f>-3832308</f>
        <v>-3832308</v>
      </c>
      <c r="D28" s="326"/>
      <c r="E28" s="326">
        <f>-3832308</f>
        <v>-3832308</v>
      </c>
      <c r="F28" s="326">
        <f>-3832308</f>
        <v>-3832308</v>
      </c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</row>
    <row r="29" spans="1:17" s="2" customFormat="1" x14ac:dyDescent="0.2">
      <c r="A29" s="107">
        <v>402200</v>
      </c>
      <c r="B29" s="94" t="s">
        <v>444</v>
      </c>
      <c r="C29" s="326">
        <f>-3832308</f>
        <v>-3832308</v>
      </c>
      <c r="D29" s="326"/>
      <c r="E29" s="326">
        <f>-3832308</f>
        <v>-3832308</v>
      </c>
      <c r="F29" s="326">
        <f>-3832308</f>
        <v>-3832308</v>
      </c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</row>
    <row r="30" spans="1:17" ht="25.5" customHeight="1" x14ac:dyDescent="0.2">
      <c r="A30" s="72">
        <v>402202</v>
      </c>
      <c r="B30" s="73" t="s">
        <v>442</v>
      </c>
      <c r="C30" s="327">
        <v>-3832308</v>
      </c>
      <c r="D30" s="326"/>
      <c r="E30" s="327">
        <v>-3832308</v>
      </c>
      <c r="F30" s="327">
        <v>-3832308</v>
      </c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</row>
    <row r="31" spans="1:17" x14ac:dyDescent="0.2">
      <c r="A31" s="107" t="s">
        <v>473</v>
      </c>
      <c r="B31" s="94" t="s">
        <v>472</v>
      </c>
      <c r="C31" s="326">
        <v>46663786.759999998</v>
      </c>
      <c r="D31" s="326">
        <v>-249363242.34999999</v>
      </c>
      <c r="E31" s="326">
        <v>296027029.11000001</v>
      </c>
      <c r="F31" s="326">
        <v>295222349.88999999</v>
      </c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</row>
    <row r="32" spans="1:17" ht="25.5" x14ac:dyDescent="0.2">
      <c r="A32" s="107" t="s">
        <v>156</v>
      </c>
      <c r="B32" s="107" t="s">
        <v>157</v>
      </c>
      <c r="C32" s="326">
        <f>D32+E32</f>
        <v>0</v>
      </c>
      <c r="D32" s="326">
        <v>-249363242.34999999</v>
      </c>
      <c r="E32" s="326">
        <v>249363242.34999999</v>
      </c>
      <c r="F32" s="326">
        <v>249363242.34999999</v>
      </c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</row>
    <row r="33" spans="1:17" ht="36" customHeight="1" x14ac:dyDescent="0.2">
      <c r="A33" s="72">
        <v>602100</v>
      </c>
      <c r="B33" s="73" t="s">
        <v>158</v>
      </c>
      <c r="C33" s="144">
        <f>D33+E33</f>
        <v>0</v>
      </c>
      <c r="D33" s="144"/>
      <c r="E33" s="144"/>
      <c r="F33" s="144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</row>
    <row r="34" spans="1:17" ht="39.75" hidden="1" customHeight="1" x14ac:dyDescent="0.2">
      <c r="A34" s="72">
        <v>602200</v>
      </c>
      <c r="B34" s="73" t="s">
        <v>159</v>
      </c>
      <c r="C34" s="144">
        <f>SUM(D34:E34)</f>
        <v>0</v>
      </c>
      <c r="D34" s="144"/>
      <c r="E34" s="144"/>
      <c r="F34" s="71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</row>
    <row r="35" spans="1:17" ht="52.5" customHeight="1" x14ac:dyDescent="0.2">
      <c r="A35" s="72">
        <v>602400</v>
      </c>
      <c r="B35" s="73" t="s">
        <v>153</v>
      </c>
      <c r="C35" s="71">
        <v>0</v>
      </c>
      <c r="D35" s="71">
        <v>-249363242.34999999</v>
      </c>
      <c r="E35" s="71">
        <v>249363242.34999999</v>
      </c>
      <c r="F35" s="71">
        <v>249363242.34999999</v>
      </c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</row>
    <row r="36" spans="1:17" x14ac:dyDescent="0.2">
      <c r="A36" s="107" t="s">
        <v>473</v>
      </c>
      <c r="B36" s="94" t="s">
        <v>472</v>
      </c>
      <c r="C36" s="71">
        <f>D36+E36</f>
        <v>46663786.75999999</v>
      </c>
      <c r="D36" s="71">
        <v>-218049756.40000001</v>
      </c>
      <c r="E36" s="71">
        <v>264713543.16</v>
      </c>
      <c r="F36" s="71">
        <v>262916373.06</v>
      </c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</row>
    <row r="37" spans="1:17" x14ac:dyDescent="0.2">
      <c r="A37" s="100"/>
      <c r="B37" s="100"/>
      <c r="C37" s="100"/>
      <c r="D37" s="100"/>
      <c r="E37" s="100"/>
      <c r="F37" s="100"/>
      <c r="G37" s="100"/>
      <c r="H37" s="100"/>
      <c r="I37" s="100"/>
    </row>
    <row r="38" spans="1:17" ht="45.75" hidden="1" x14ac:dyDescent="0.65">
      <c r="A38" s="100"/>
      <c r="B38" s="507"/>
      <c r="C38" s="507"/>
      <c r="D38" s="507"/>
      <c r="E38" s="507"/>
      <c r="F38" s="507"/>
      <c r="G38" s="507"/>
      <c r="H38" s="507"/>
      <c r="I38" s="507"/>
      <c r="J38" s="507"/>
      <c r="K38" s="507"/>
      <c r="L38" s="507"/>
      <c r="M38" s="507"/>
      <c r="N38" s="507"/>
      <c r="O38" s="507"/>
    </row>
    <row r="39" spans="1:17" ht="32.25" customHeight="1" x14ac:dyDescent="0.65">
      <c r="A39" s="100"/>
      <c r="B39" s="470"/>
      <c r="C39" s="470"/>
      <c r="D39" s="470"/>
      <c r="E39" s="470"/>
      <c r="F39" s="470"/>
      <c r="G39" s="470"/>
      <c r="H39" s="470"/>
      <c r="I39" s="470"/>
      <c r="J39" s="470"/>
      <c r="K39" s="470"/>
      <c r="L39" s="470"/>
      <c r="M39" s="470"/>
      <c r="N39" s="470"/>
      <c r="O39" s="470"/>
    </row>
    <row r="40" spans="1:17" ht="15.75" x14ac:dyDescent="0.25">
      <c r="A40" s="100"/>
      <c r="B40" s="497" t="s">
        <v>922</v>
      </c>
      <c r="C40" s="497"/>
      <c r="D40" s="498"/>
      <c r="E40" s="100"/>
      <c r="F40" s="101" t="s">
        <v>923</v>
      </c>
      <c r="G40" s="100"/>
      <c r="H40" s="100"/>
      <c r="I40" s="100"/>
    </row>
    <row r="41" spans="1:17" x14ac:dyDescent="0.2">
      <c r="A41" s="100"/>
      <c r="B41" s="139"/>
      <c r="C41" s="139"/>
      <c r="D41" s="100"/>
      <c r="E41" s="100"/>
      <c r="F41" s="100"/>
      <c r="G41" s="100"/>
      <c r="H41" s="100"/>
      <c r="I41" s="100"/>
    </row>
    <row r="42" spans="1:17" x14ac:dyDescent="0.2">
      <c r="F42" s="100"/>
    </row>
  </sheetData>
  <mergeCells count="12">
    <mergeCell ref="A13:B13"/>
    <mergeCell ref="A23:B23"/>
    <mergeCell ref="B40:D40"/>
    <mergeCell ref="A5:F5"/>
    <mergeCell ref="A10:A11"/>
    <mergeCell ref="B10:B11"/>
    <mergeCell ref="C10:C11"/>
    <mergeCell ref="D10:D11"/>
    <mergeCell ref="E10:F10"/>
    <mergeCell ref="A8:B8"/>
    <mergeCell ref="A7:B7"/>
    <mergeCell ref="B38:O38"/>
  </mergeCells>
  <pageMargins left="1.1811023622047245" right="0.44" top="0.39370078740157483" bottom="0.19685039370078741" header="0.39370078740157483" footer="0.1574803149606299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>
    <pageSetUpPr fitToPage="1"/>
  </sheetPr>
  <dimension ref="A2:T191"/>
  <sheetViews>
    <sheetView view="pageBreakPreview" topLeftCell="G1" zoomScale="25" zoomScaleNormal="25" zoomScaleSheetLayoutView="25" zoomScalePageLayoutView="10" workbookViewId="0">
      <pane ySplit="15" topLeftCell="A163" activePane="bottomLeft" state="frozen"/>
      <selection activeCell="K153" sqref="K153"/>
      <selection pane="bottomLeft" activeCell="A6" sqref="A6:P6"/>
    </sheetView>
  </sheetViews>
  <sheetFormatPr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5.4257812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customWidth="1"/>
    <col min="18" max="18" width="66.42578125" bestFit="1" customWidth="1"/>
    <col min="20" max="20" width="24.7109375" bestFit="1" customWidth="1"/>
  </cols>
  <sheetData>
    <row r="2" spans="1:18" ht="45.75" x14ac:dyDescent="0.2">
      <c r="D2" s="6"/>
      <c r="E2" s="7"/>
      <c r="F2" s="8"/>
      <c r="G2" s="7"/>
      <c r="H2" s="7"/>
      <c r="I2" s="7"/>
      <c r="J2" s="7"/>
      <c r="K2" s="7"/>
      <c r="L2" s="7"/>
      <c r="M2" s="7"/>
      <c r="N2" s="516" t="s">
        <v>707</v>
      </c>
      <c r="O2" s="492"/>
      <c r="P2" s="492"/>
      <c r="Q2" s="492"/>
    </row>
    <row r="3" spans="1:18" ht="45.75" x14ac:dyDescent="0.2">
      <c r="A3" s="6"/>
      <c r="B3" s="6"/>
      <c r="C3" s="6"/>
      <c r="D3" s="6"/>
      <c r="E3" s="7"/>
      <c r="F3" s="8"/>
      <c r="G3" s="7"/>
      <c r="H3" s="7"/>
      <c r="I3" s="7"/>
      <c r="J3" s="7"/>
      <c r="K3" s="7"/>
      <c r="L3" s="7"/>
      <c r="M3" s="7"/>
      <c r="N3" s="516" t="s">
        <v>934</v>
      </c>
      <c r="O3" s="517"/>
      <c r="P3" s="517"/>
      <c r="Q3" s="517"/>
    </row>
    <row r="4" spans="1:18" ht="40.700000000000003" customHeight="1" x14ac:dyDescent="0.2">
      <c r="A4" s="6"/>
      <c r="B4" s="6"/>
      <c r="C4" s="6"/>
      <c r="D4" s="6"/>
      <c r="E4" s="7"/>
      <c r="F4" s="8"/>
      <c r="G4" s="7"/>
      <c r="H4" s="7"/>
      <c r="I4" s="7"/>
      <c r="J4" s="7"/>
      <c r="K4" s="7"/>
      <c r="L4" s="7"/>
      <c r="M4" s="7"/>
      <c r="N4" s="7"/>
      <c r="O4" s="516"/>
      <c r="P4" s="518"/>
    </row>
    <row r="5" spans="1:18" ht="45.75" hidden="1" x14ac:dyDescent="0.2">
      <c r="A5" s="6"/>
      <c r="B5" s="6"/>
      <c r="C5" s="6"/>
      <c r="D5" s="6"/>
      <c r="E5" s="7"/>
      <c r="F5" s="8"/>
      <c r="G5" s="7"/>
      <c r="H5" s="7"/>
      <c r="I5" s="7"/>
      <c r="J5" s="7"/>
      <c r="K5" s="7"/>
      <c r="L5" s="7"/>
      <c r="M5" s="7"/>
      <c r="N5" s="7"/>
      <c r="O5" s="6"/>
      <c r="P5" s="8"/>
    </row>
    <row r="6" spans="1:18" ht="45" x14ac:dyDescent="0.2">
      <c r="A6" s="519" t="s">
        <v>71</v>
      </c>
      <c r="B6" s="519"/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</row>
    <row r="7" spans="1:18" ht="45" x14ac:dyDescent="0.2">
      <c r="A7" s="519" t="s">
        <v>584</v>
      </c>
      <c r="B7" s="519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</row>
    <row r="8" spans="1:18" s="215" customFormat="1" ht="45" x14ac:dyDescent="0.2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</row>
    <row r="9" spans="1:18" s="215" customFormat="1" ht="45.75" x14ac:dyDescent="0.65">
      <c r="A9" s="520">
        <v>22201100000</v>
      </c>
      <c r="B9" s="521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</row>
    <row r="10" spans="1:18" s="215" customFormat="1" ht="45.75" x14ac:dyDescent="0.2">
      <c r="A10" s="522" t="s">
        <v>703</v>
      </c>
      <c r="B10" s="523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</row>
    <row r="11" spans="1:18" ht="53.45" customHeight="1" thickBot="1" x14ac:dyDescent="0.25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9" t="s">
        <v>496</v>
      </c>
    </row>
    <row r="12" spans="1:18" ht="62.45" customHeight="1" thickTop="1" thickBot="1" x14ac:dyDescent="0.25">
      <c r="A12" s="510" t="s">
        <v>704</v>
      </c>
      <c r="B12" s="510" t="s">
        <v>705</v>
      </c>
      <c r="C12" s="510" t="s">
        <v>482</v>
      </c>
      <c r="D12" s="510" t="s">
        <v>706</v>
      </c>
      <c r="E12" s="511" t="s">
        <v>14</v>
      </c>
      <c r="F12" s="511"/>
      <c r="G12" s="511"/>
      <c r="H12" s="511"/>
      <c r="I12" s="511"/>
      <c r="J12" s="511" t="s">
        <v>67</v>
      </c>
      <c r="K12" s="511"/>
      <c r="L12" s="511"/>
      <c r="M12" s="511"/>
      <c r="N12" s="511"/>
      <c r="O12" s="515"/>
      <c r="P12" s="511" t="s">
        <v>13</v>
      </c>
    </row>
    <row r="13" spans="1:18" ht="96" customHeight="1" thickTop="1" thickBot="1" x14ac:dyDescent="0.25">
      <c r="A13" s="511"/>
      <c r="B13" s="512"/>
      <c r="C13" s="512"/>
      <c r="D13" s="511"/>
      <c r="E13" s="510" t="s">
        <v>476</v>
      </c>
      <c r="F13" s="510" t="s">
        <v>68</v>
      </c>
      <c r="G13" s="510" t="s">
        <v>15</v>
      </c>
      <c r="H13" s="510"/>
      <c r="I13" s="510" t="s">
        <v>70</v>
      </c>
      <c r="J13" s="510" t="s">
        <v>476</v>
      </c>
      <c r="K13" s="510" t="s">
        <v>477</v>
      </c>
      <c r="L13" s="510" t="s">
        <v>68</v>
      </c>
      <c r="M13" s="510" t="s">
        <v>15</v>
      </c>
      <c r="N13" s="510"/>
      <c r="O13" s="510" t="s">
        <v>70</v>
      </c>
      <c r="P13" s="511"/>
    </row>
    <row r="14" spans="1:18" ht="276" customHeight="1" thickTop="1" thickBot="1" x14ac:dyDescent="0.25">
      <c r="A14" s="512"/>
      <c r="B14" s="512"/>
      <c r="C14" s="512"/>
      <c r="D14" s="512"/>
      <c r="E14" s="510"/>
      <c r="F14" s="510"/>
      <c r="G14" s="226" t="s">
        <v>69</v>
      </c>
      <c r="H14" s="226" t="s">
        <v>17</v>
      </c>
      <c r="I14" s="510"/>
      <c r="J14" s="510"/>
      <c r="K14" s="510"/>
      <c r="L14" s="510"/>
      <c r="M14" s="226" t="s">
        <v>69</v>
      </c>
      <c r="N14" s="226" t="s">
        <v>17</v>
      </c>
      <c r="O14" s="510"/>
      <c r="P14" s="511"/>
    </row>
    <row r="15" spans="1:18" s="2" customFormat="1" ht="111" customHeight="1" thickTop="1" thickBot="1" x14ac:dyDescent="0.25">
      <c r="A15" s="227" t="s">
        <v>3</v>
      </c>
      <c r="B15" s="227" t="s">
        <v>4</v>
      </c>
      <c r="C15" s="227" t="s">
        <v>16</v>
      </c>
      <c r="D15" s="227" t="s">
        <v>6</v>
      </c>
      <c r="E15" s="227" t="s">
        <v>484</v>
      </c>
      <c r="F15" s="227" t="s">
        <v>485</v>
      </c>
      <c r="G15" s="227" t="s">
        <v>486</v>
      </c>
      <c r="H15" s="227" t="s">
        <v>487</v>
      </c>
      <c r="I15" s="227" t="s">
        <v>488</v>
      </c>
      <c r="J15" s="227" t="s">
        <v>489</v>
      </c>
      <c r="K15" s="227" t="s">
        <v>490</v>
      </c>
      <c r="L15" s="227" t="s">
        <v>491</v>
      </c>
      <c r="M15" s="227" t="s">
        <v>492</v>
      </c>
      <c r="N15" s="227" t="s">
        <v>493</v>
      </c>
      <c r="O15" s="227" t="s">
        <v>494</v>
      </c>
      <c r="P15" s="227" t="s">
        <v>495</v>
      </c>
      <c r="Q15" s="157"/>
      <c r="R15" s="209"/>
    </row>
    <row r="16" spans="1:18" s="160" customFormat="1" ht="136.5" thickTop="1" thickBot="1" x14ac:dyDescent="0.25">
      <c r="A16" s="413" t="s">
        <v>190</v>
      </c>
      <c r="B16" s="413"/>
      <c r="C16" s="413"/>
      <c r="D16" s="414" t="s">
        <v>192</v>
      </c>
      <c r="E16" s="415">
        <f>E17</f>
        <v>98594800</v>
      </c>
      <c r="F16" s="416">
        <f t="shared" ref="F16:N16" si="0">F17</f>
        <v>98594800</v>
      </c>
      <c r="G16" s="416">
        <f t="shared" si="0"/>
        <v>62318100</v>
      </c>
      <c r="H16" s="416">
        <f t="shared" si="0"/>
        <v>2413900</v>
      </c>
      <c r="I16" s="415">
        <f t="shared" si="0"/>
        <v>0</v>
      </c>
      <c r="J16" s="415">
        <f t="shared" si="0"/>
        <v>7794446</v>
      </c>
      <c r="K16" s="416">
        <f t="shared" si="0"/>
        <v>5317946</v>
      </c>
      <c r="L16" s="416">
        <f t="shared" si="0"/>
        <v>2446500</v>
      </c>
      <c r="M16" s="416">
        <f t="shared" si="0"/>
        <v>0</v>
      </c>
      <c r="N16" s="415">
        <f t="shared" si="0"/>
        <v>0</v>
      </c>
      <c r="O16" s="415">
        <f>O17</f>
        <v>5347946</v>
      </c>
      <c r="P16" s="416">
        <f t="shared" ref="P16" si="1">P17</f>
        <v>106389246</v>
      </c>
    </row>
    <row r="17" spans="1:20" s="160" customFormat="1" ht="136.5" thickTop="1" thickBot="1" x14ac:dyDescent="0.25">
      <c r="A17" s="417" t="s">
        <v>191</v>
      </c>
      <c r="B17" s="417"/>
      <c r="C17" s="417"/>
      <c r="D17" s="418" t="s">
        <v>193</v>
      </c>
      <c r="E17" s="419">
        <f>SUM(E18:E27)</f>
        <v>98594800</v>
      </c>
      <c r="F17" s="419">
        <f t="shared" ref="F17:O17" si="2">SUM(F18:F27)</f>
        <v>98594800</v>
      </c>
      <c r="G17" s="419">
        <f t="shared" si="2"/>
        <v>62318100</v>
      </c>
      <c r="H17" s="419">
        <f t="shared" si="2"/>
        <v>2413900</v>
      </c>
      <c r="I17" s="419">
        <f t="shared" si="2"/>
        <v>0</v>
      </c>
      <c r="J17" s="419">
        <f t="shared" ref="J17:J22" si="3">L17+O17</f>
        <v>7794446</v>
      </c>
      <c r="K17" s="419">
        <f t="shared" si="2"/>
        <v>5317946</v>
      </c>
      <c r="L17" s="419">
        <f t="shared" si="2"/>
        <v>2446500</v>
      </c>
      <c r="M17" s="419">
        <f t="shared" si="2"/>
        <v>0</v>
      </c>
      <c r="N17" s="419">
        <f t="shared" si="2"/>
        <v>0</v>
      </c>
      <c r="O17" s="419">
        <f t="shared" si="2"/>
        <v>5347946</v>
      </c>
      <c r="P17" s="420">
        <f>E17+J17</f>
        <v>106389246</v>
      </c>
      <c r="Q17" s="205" t="b">
        <f>P18+P19+P20+P21+P25+P26+P22+P24+P27=P17</f>
        <v>1</v>
      </c>
      <c r="R17" s="205" t="b">
        <f>K17='d5'!J12</f>
        <v>1</v>
      </c>
    </row>
    <row r="18" spans="1:20" s="162" customFormat="1" ht="321.75" thickTop="1" thickBot="1" x14ac:dyDescent="0.25">
      <c r="A18" s="340" t="s">
        <v>284</v>
      </c>
      <c r="B18" s="340" t="s">
        <v>285</v>
      </c>
      <c r="C18" s="340" t="s">
        <v>286</v>
      </c>
      <c r="D18" s="340" t="s">
        <v>283</v>
      </c>
      <c r="E18" s="339">
        <f t="shared" ref="E18:E26" si="4">F18</f>
        <v>85960700</v>
      </c>
      <c r="F18" s="288">
        <f>((89353900)-2000000)-1393200</f>
        <v>85960700</v>
      </c>
      <c r="G18" s="288">
        <f>((64432700)-979400)-1135200</f>
        <v>62318100</v>
      </c>
      <c r="H18" s="288">
        <f>1650000+35500+673300+3400+51700</f>
        <v>2413900</v>
      </c>
      <c r="I18" s="288"/>
      <c r="J18" s="342">
        <f t="shared" si="3"/>
        <v>595300</v>
      </c>
      <c r="K18" s="288">
        <f>(275000+51000+49900+100000+78000+200000)-158600</f>
        <v>595300</v>
      </c>
      <c r="L18" s="356"/>
      <c r="M18" s="357"/>
      <c r="N18" s="357"/>
      <c r="O18" s="303">
        <f>K18</f>
        <v>595300</v>
      </c>
      <c r="P18" s="342">
        <f>+J18+E18</f>
        <v>86556000</v>
      </c>
      <c r="Q18" s="206"/>
      <c r="R18" s="205" t="b">
        <f>K18='d5'!J13+'d5'!J14+'d5'!J15+'d5'!J16</f>
        <v>1</v>
      </c>
    </row>
    <row r="19" spans="1:20" s="162" customFormat="1" ht="93" thickTop="1" thickBot="1" x14ac:dyDescent="0.25">
      <c r="A19" s="340" t="s">
        <v>299</v>
      </c>
      <c r="B19" s="340" t="s">
        <v>55</v>
      </c>
      <c r="C19" s="340" t="s">
        <v>54</v>
      </c>
      <c r="D19" s="340" t="s">
        <v>300</v>
      </c>
      <c r="E19" s="339">
        <f t="shared" ref="E19:E22" si="5">F19</f>
        <v>2553800</v>
      </c>
      <c r="F19" s="285">
        <f>((3172750)-660000)+41050</f>
        <v>2553800</v>
      </c>
      <c r="G19" s="285"/>
      <c r="H19" s="285"/>
      <c r="I19" s="285"/>
      <c r="J19" s="342">
        <f t="shared" si="3"/>
        <v>0</v>
      </c>
      <c r="K19" s="285"/>
      <c r="L19" s="285"/>
      <c r="M19" s="285"/>
      <c r="N19" s="285"/>
      <c r="O19" s="303">
        <f>K19</f>
        <v>0</v>
      </c>
      <c r="P19" s="342">
        <f>E19+J19</f>
        <v>2553800</v>
      </c>
      <c r="Q19" s="206"/>
      <c r="R19" s="205"/>
    </row>
    <row r="20" spans="1:20" s="162" customFormat="1" ht="93" thickTop="1" thickBot="1" x14ac:dyDescent="0.25">
      <c r="A20" s="340" t="s">
        <v>290</v>
      </c>
      <c r="B20" s="340" t="s">
        <v>291</v>
      </c>
      <c r="C20" s="340" t="s">
        <v>292</v>
      </c>
      <c r="D20" s="340" t="s">
        <v>289</v>
      </c>
      <c r="E20" s="339">
        <f t="shared" si="5"/>
        <v>4094100</v>
      </c>
      <c r="F20" s="285">
        <f>(4082100)+12000</f>
        <v>4094100</v>
      </c>
      <c r="G20" s="285"/>
      <c r="H20" s="285"/>
      <c r="I20" s="285"/>
      <c r="J20" s="342">
        <f t="shared" si="3"/>
        <v>1334646</v>
      </c>
      <c r="K20" s="285">
        <f>(1300000)+51646-17000</f>
        <v>1334646</v>
      </c>
      <c r="L20" s="285"/>
      <c r="M20" s="285"/>
      <c r="N20" s="285"/>
      <c r="O20" s="303">
        <f>K20</f>
        <v>1334646</v>
      </c>
      <c r="P20" s="342">
        <f>+J20+E20</f>
        <v>5428746</v>
      </c>
      <c r="Q20" s="206"/>
      <c r="R20" s="205" t="b">
        <f>K20='d5'!J17</f>
        <v>1</v>
      </c>
    </row>
    <row r="21" spans="1:20" s="162" customFormat="1" ht="138.75" thickTop="1" thickBot="1" x14ac:dyDescent="0.25">
      <c r="A21" s="340" t="s">
        <v>356</v>
      </c>
      <c r="B21" s="340" t="s">
        <v>357</v>
      </c>
      <c r="C21" s="340" t="s">
        <v>212</v>
      </c>
      <c r="D21" s="340" t="s">
        <v>592</v>
      </c>
      <c r="E21" s="339">
        <f t="shared" si="5"/>
        <v>162800</v>
      </c>
      <c r="F21" s="285">
        <v>162800</v>
      </c>
      <c r="G21" s="285"/>
      <c r="H21" s="285"/>
      <c r="I21" s="285"/>
      <c r="J21" s="342">
        <f t="shared" si="3"/>
        <v>0</v>
      </c>
      <c r="K21" s="285"/>
      <c r="L21" s="285"/>
      <c r="M21" s="285"/>
      <c r="N21" s="285"/>
      <c r="O21" s="303">
        <f>K21</f>
        <v>0</v>
      </c>
      <c r="P21" s="342">
        <f>+J21+E21</f>
        <v>162800</v>
      </c>
      <c r="Q21" s="206"/>
      <c r="R21" s="205"/>
    </row>
    <row r="22" spans="1:20" s="164" customFormat="1" ht="361.5" customHeight="1" thickTop="1" thickBot="1" x14ac:dyDescent="0.7">
      <c r="A22" s="528" t="s">
        <v>414</v>
      </c>
      <c r="B22" s="528" t="s">
        <v>413</v>
      </c>
      <c r="C22" s="528" t="s">
        <v>212</v>
      </c>
      <c r="D22" s="293" t="s">
        <v>588</v>
      </c>
      <c r="E22" s="508">
        <f t="shared" si="5"/>
        <v>0</v>
      </c>
      <c r="F22" s="529"/>
      <c r="G22" s="513"/>
      <c r="H22" s="513"/>
      <c r="I22" s="513"/>
      <c r="J22" s="508">
        <f t="shared" si="3"/>
        <v>2476500</v>
      </c>
      <c r="K22" s="513"/>
      <c r="L22" s="513">
        <f>(3476500-30000)-1000000</f>
        <v>2446500</v>
      </c>
      <c r="M22" s="513"/>
      <c r="N22" s="513"/>
      <c r="O22" s="526">
        <f>(K22+30000)</f>
        <v>30000</v>
      </c>
      <c r="P22" s="524">
        <f>E22+J22</f>
        <v>2476500</v>
      </c>
      <c r="Q22" s="163">
        <f>P22</f>
        <v>2476500</v>
      </c>
    </row>
    <row r="23" spans="1:20" s="164" customFormat="1" ht="184.5" thickTop="1" thickBot="1" x14ac:dyDescent="0.25">
      <c r="A23" s="509"/>
      <c r="B23" s="509"/>
      <c r="C23" s="509"/>
      <c r="D23" s="294" t="s">
        <v>589</v>
      </c>
      <c r="E23" s="509"/>
      <c r="F23" s="530"/>
      <c r="G23" s="514"/>
      <c r="H23" s="514"/>
      <c r="I23" s="514"/>
      <c r="J23" s="509"/>
      <c r="K23" s="509"/>
      <c r="L23" s="514"/>
      <c r="M23" s="514"/>
      <c r="N23" s="514"/>
      <c r="O23" s="527"/>
      <c r="P23" s="525"/>
    </row>
    <row r="24" spans="1:20" s="164" customFormat="1" ht="93" hidden="1" thickTop="1" thickBot="1" x14ac:dyDescent="0.25">
      <c r="A24" s="348" t="s">
        <v>737</v>
      </c>
      <c r="B24" s="348" t="s">
        <v>310</v>
      </c>
      <c r="C24" s="348" t="s">
        <v>212</v>
      </c>
      <c r="D24" s="348" t="s">
        <v>308</v>
      </c>
      <c r="E24" s="349">
        <f>F24</f>
        <v>0</v>
      </c>
      <c r="F24" s="351"/>
      <c r="G24" s="352"/>
      <c r="H24" s="352"/>
      <c r="I24" s="352"/>
      <c r="J24" s="349">
        <f>L24+O24</f>
        <v>0</v>
      </c>
      <c r="K24" s="353"/>
      <c r="L24" s="352"/>
      <c r="M24" s="352"/>
      <c r="N24" s="352"/>
      <c r="O24" s="354"/>
      <c r="P24" s="349">
        <f>E24+J24</f>
        <v>0</v>
      </c>
    </row>
    <row r="25" spans="1:20" s="162" customFormat="1" ht="93" thickTop="1" thickBot="1" x14ac:dyDescent="0.25">
      <c r="A25" s="340" t="s">
        <v>293</v>
      </c>
      <c r="B25" s="340" t="s">
        <v>294</v>
      </c>
      <c r="C25" s="340" t="s">
        <v>295</v>
      </c>
      <c r="D25" s="340" t="s">
        <v>296</v>
      </c>
      <c r="E25" s="339">
        <f>F25</f>
        <v>5313400</v>
      </c>
      <c r="F25" s="285">
        <f>(4653400)+660000</f>
        <v>5313400</v>
      </c>
      <c r="G25" s="285"/>
      <c r="H25" s="285"/>
      <c r="I25" s="285"/>
      <c r="J25" s="342">
        <f>L25+O25</f>
        <v>0</v>
      </c>
      <c r="K25" s="285"/>
      <c r="L25" s="285"/>
      <c r="M25" s="285"/>
      <c r="N25" s="285"/>
      <c r="O25" s="303">
        <f>K25</f>
        <v>0</v>
      </c>
      <c r="P25" s="342">
        <f>E25+J25</f>
        <v>5313400</v>
      </c>
    </row>
    <row r="26" spans="1:20" s="162" customFormat="1" ht="230.25" thickTop="1" thickBot="1" x14ac:dyDescent="0.25">
      <c r="A26" s="340" t="s">
        <v>297</v>
      </c>
      <c r="B26" s="340" t="s">
        <v>298</v>
      </c>
      <c r="C26" s="340" t="s">
        <v>55</v>
      </c>
      <c r="D26" s="340" t="s">
        <v>593</v>
      </c>
      <c r="E26" s="339">
        <f t="shared" si="4"/>
        <v>200000</v>
      </c>
      <c r="F26" s="285">
        <f>(200000)</f>
        <v>200000</v>
      </c>
      <c r="G26" s="285"/>
      <c r="H26" s="285"/>
      <c r="I26" s="285"/>
      <c r="J26" s="342">
        <f>L26+O26</f>
        <v>0</v>
      </c>
      <c r="K26" s="285"/>
      <c r="L26" s="285"/>
      <c r="M26" s="285"/>
      <c r="N26" s="285"/>
      <c r="O26" s="303">
        <f>K26</f>
        <v>0</v>
      </c>
      <c r="P26" s="342">
        <f>E26+J26</f>
        <v>200000</v>
      </c>
    </row>
    <row r="27" spans="1:20" s="162" customFormat="1" ht="184.5" thickTop="1" thickBot="1" x14ac:dyDescent="0.25">
      <c r="A27" s="304" t="s">
        <v>738</v>
      </c>
      <c r="B27" s="304" t="s">
        <v>739</v>
      </c>
      <c r="C27" s="304" t="s">
        <v>55</v>
      </c>
      <c r="D27" s="304" t="s">
        <v>740</v>
      </c>
      <c r="E27" s="305">
        <f t="shared" ref="E27" si="6">F27</f>
        <v>310000</v>
      </c>
      <c r="F27" s="285">
        <f>100000+150000+60000</f>
        <v>310000</v>
      </c>
      <c r="G27" s="285"/>
      <c r="H27" s="285"/>
      <c r="I27" s="285"/>
      <c r="J27" s="305">
        <f>L27+O27</f>
        <v>3388000</v>
      </c>
      <c r="K27" s="285">
        <f>3048000+300000+40000</f>
        <v>3388000</v>
      </c>
      <c r="L27" s="285"/>
      <c r="M27" s="285"/>
      <c r="N27" s="285"/>
      <c r="O27" s="303">
        <f>K27</f>
        <v>3388000</v>
      </c>
      <c r="P27" s="305">
        <f>E27+J27</f>
        <v>3698000</v>
      </c>
      <c r="R27" s="205" t="b">
        <f>K27='d5'!J18+'d5'!J19</f>
        <v>1</v>
      </c>
    </row>
    <row r="28" spans="1:20" s="162" customFormat="1" ht="136.5" thickTop="1" thickBot="1" x14ac:dyDescent="0.25">
      <c r="A28" s="413" t="s">
        <v>194</v>
      </c>
      <c r="B28" s="413"/>
      <c r="C28" s="413"/>
      <c r="D28" s="414" t="s">
        <v>0</v>
      </c>
      <c r="E28" s="415">
        <f>E29</f>
        <v>1155320487.52</v>
      </c>
      <c r="F28" s="416">
        <f t="shared" ref="F28" si="7">F29</f>
        <v>1155320487.52</v>
      </c>
      <c r="G28" s="416">
        <f t="shared" ref="G28" si="8">G29</f>
        <v>811461021.53999996</v>
      </c>
      <c r="H28" s="416">
        <f>H29</f>
        <v>67556009</v>
      </c>
      <c r="I28" s="415">
        <f t="shared" ref="I28" si="9">I29</f>
        <v>0</v>
      </c>
      <c r="J28" s="415">
        <f>J29</f>
        <v>180108599.69999999</v>
      </c>
      <c r="K28" s="416">
        <f>K29</f>
        <v>44392639.700000003</v>
      </c>
      <c r="L28" s="416">
        <f>L29</f>
        <v>133662020</v>
      </c>
      <c r="M28" s="416">
        <f t="shared" ref="M28" si="10">M29</f>
        <v>38591784</v>
      </c>
      <c r="N28" s="415">
        <f>N29</f>
        <v>8785330</v>
      </c>
      <c r="O28" s="415">
        <f>O29</f>
        <v>46446579.700000003</v>
      </c>
      <c r="P28" s="416">
        <f t="shared" ref="P28" si="11">P29</f>
        <v>1335429087.22</v>
      </c>
    </row>
    <row r="29" spans="1:20" s="162" customFormat="1" ht="136.5" thickTop="1" thickBot="1" x14ac:dyDescent="0.25">
      <c r="A29" s="417" t="s">
        <v>195</v>
      </c>
      <c r="B29" s="417"/>
      <c r="C29" s="417"/>
      <c r="D29" s="418" t="s">
        <v>1</v>
      </c>
      <c r="E29" s="419">
        <f>SUM(E30:E40)</f>
        <v>1155320487.52</v>
      </c>
      <c r="F29" s="419">
        <f t="shared" ref="F29:I29" si="12">SUM(F30:F40)</f>
        <v>1155320487.52</v>
      </c>
      <c r="G29" s="419">
        <f t="shared" si="12"/>
        <v>811461021.53999996</v>
      </c>
      <c r="H29" s="419">
        <f t="shared" si="12"/>
        <v>67556009</v>
      </c>
      <c r="I29" s="419">
        <f t="shared" si="12"/>
        <v>0</v>
      </c>
      <c r="J29" s="419">
        <f>L29+O29</f>
        <v>180108599.69999999</v>
      </c>
      <c r="K29" s="419">
        <f>SUM(K30:K40)</f>
        <v>44392639.700000003</v>
      </c>
      <c r="L29" s="419">
        <f>SUM(L30:L40)</f>
        <v>133662020</v>
      </c>
      <c r="M29" s="419">
        <f>SUM(M30:M40)</f>
        <v>38591784</v>
      </c>
      <c r="N29" s="419">
        <f>SUM(N30:N40)</f>
        <v>8785330</v>
      </c>
      <c r="O29" s="419">
        <f>SUM(O30:O40)</f>
        <v>46446579.700000003</v>
      </c>
      <c r="P29" s="420">
        <f t="shared" ref="P29:P37" si="13">E29+J29</f>
        <v>1335429087.22</v>
      </c>
      <c r="Q29" s="205" t="b">
        <f>P29=P30+P31+P32+P33+P34+P35+P36+P37+P39+P38+P40</f>
        <v>1</v>
      </c>
      <c r="R29" s="205" t="b">
        <f>K29='d5'!J22</f>
        <v>1</v>
      </c>
    </row>
    <row r="30" spans="1:20" s="162" customFormat="1" ht="99" customHeight="1" thickTop="1" thickBot="1" x14ac:dyDescent="0.6">
      <c r="A30" s="343" t="s">
        <v>246</v>
      </c>
      <c r="B30" s="343" t="s">
        <v>247</v>
      </c>
      <c r="C30" s="343" t="s">
        <v>249</v>
      </c>
      <c r="D30" s="343" t="s">
        <v>250</v>
      </c>
      <c r="E30" s="342">
        <f>F30</f>
        <v>327506166.56999999</v>
      </c>
      <c r="F30" s="285">
        <f>(348947961+1301540+286340+40720)-8420025.93-58264-10000000-4000000-226000-1000000-109985-17419.5+761300</f>
        <v>327506166.56999999</v>
      </c>
      <c r="G30" s="285">
        <f>(233361000+1301540)-7220025.93-47764-109985-17419.5</f>
        <v>227267345.56999999</v>
      </c>
      <c r="H30" s="285">
        <f>(26988721)-4000000-226000-1000000</f>
        <v>21762721</v>
      </c>
      <c r="I30" s="285"/>
      <c r="J30" s="342">
        <f t="shared" ref="J30:J38" si="14">L30+O30</f>
        <v>60341245</v>
      </c>
      <c r="K30" s="285">
        <f>((2495735)+814300)+2350000+167800-929100</f>
        <v>4898735</v>
      </c>
      <c r="L30" s="285">
        <v>54872710</v>
      </c>
      <c r="M30" s="285">
        <v>11945140</v>
      </c>
      <c r="N30" s="285">
        <v>675470</v>
      </c>
      <c r="O30" s="303">
        <f>K30+569800</f>
        <v>5468535</v>
      </c>
      <c r="P30" s="342">
        <f t="shared" si="13"/>
        <v>387847411.56999999</v>
      </c>
      <c r="Q30" s="165"/>
      <c r="R30" s="205" t="b">
        <f>K30='d5'!J23+'d5'!J25+'d5'!J26+'d5'!J27+'d5'!J30</f>
        <v>1</v>
      </c>
    </row>
    <row r="31" spans="1:20" s="162" customFormat="1" ht="230.25" thickTop="1" thickBot="1" x14ac:dyDescent="0.6">
      <c r="A31" s="343" t="s">
        <v>251</v>
      </c>
      <c r="B31" s="343" t="s">
        <v>248</v>
      </c>
      <c r="C31" s="343" t="s">
        <v>252</v>
      </c>
      <c r="D31" s="343" t="s">
        <v>714</v>
      </c>
      <c r="E31" s="342">
        <f t="shared" ref="E31:E36" si="15">F31</f>
        <v>644459666.95000005</v>
      </c>
      <c r="F31" s="285">
        <f>(691014708)-4247665.3-900000-23685400+78670.27+93.98-6447-1400-2291500+1654860-14000000-3000000-106000-1000000+55870+201300+892577-200000</f>
        <v>644459666.95000005</v>
      </c>
      <c r="G31" s="285">
        <f>(467595470+23685400)-4247665.3-23685400+78670.27-6447</f>
        <v>463420027.96999997</v>
      </c>
      <c r="H31" s="285">
        <f>((26854977)+9230100)-3000000-106000-1000000</f>
        <v>31979077</v>
      </c>
      <c r="I31" s="285"/>
      <c r="J31" s="342">
        <f t="shared" si="14"/>
        <v>84225104.819999993</v>
      </c>
      <c r="K31" s="285">
        <f>((15297873)+1308980)-15880+5913611+588933+174277+145723+1452531+604430+442740+1614679+3636425.32+2380573+217419.5-450000</f>
        <v>33312314.82</v>
      </c>
      <c r="L31" s="285">
        <v>49999650</v>
      </c>
      <c r="M31" s="285">
        <v>17473000</v>
      </c>
      <c r="N31" s="285">
        <v>1060740</v>
      </c>
      <c r="O31" s="303">
        <f>K31+913140</f>
        <v>34225454.82</v>
      </c>
      <c r="P31" s="342">
        <f t="shared" si="13"/>
        <v>728684771.76999998</v>
      </c>
      <c r="Q31" s="165"/>
      <c r="R31" s="205" t="b">
        <f>K31='d5'!J31+'d5'!J32+'d5'!J33+'d5'!J34+'d5'!J35+'d5'!J36+'d5'!J37+'d5'!J38+'d5'!J40+'d5'!J41+'d5'!J43+'d5'!J44+'d5'!J45+'d5'!J46+'d5'!J47+'d5'!J48+'d5'!J49+'d5'!J51+'d5'!J53+'d5'!J52</f>
        <v>1</v>
      </c>
      <c r="T31" s="166"/>
    </row>
    <row r="32" spans="1:20" s="162" customFormat="1" ht="276" thickTop="1" thickBot="1" x14ac:dyDescent="0.25">
      <c r="A32" s="343" t="s">
        <v>716</v>
      </c>
      <c r="B32" s="343" t="s">
        <v>253</v>
      </c>
      <c r="C32" s="343" t="s">
        <v>255</v>
      </c>
      <c r="D32" s="343" t="s">
        <v>715</v>
      </c>
      <c r="E32" s="342">
        <f t="shared" si="15"/>
        <v>19537399</v>
      </c>
      <c r="F32" s="285">
        <f>(19860814)-8500+5085-400000+80000</f>
        <v>19537399</v>
      </c>
      <c r="G32" s="285">
        <v>14672200</v>
      </c>
      <c r="H32" s="285">
        <v>865142</v>
      </c>
      <c r="I32" s="285"/>
      <c r="J32" s="342">
        <f t="shared" si="14"/>
        <v>121499</v>
      </c>
      <c r="K32" s="285">
        <f>(32000)+16250+1849+548+19452</f>
        <v>70099</v>
      </c>
      <c r="L32" s="285">
        <v>51400</v>
      </c>
      <c r="M32" s="285"/>
      <c r="N32" s="285">
        <v>30200</v>
      </c>
      <c r="O32" s="303">
        <f>K32</f>
        <v>70099</v>
      </c>
      <c r="P32" s="342">
        <f t="shared" si="13"/>
        <v>19658898</v>
      </c>
      <c r="R32" s="205" t="b">
        <f>K32='d5'!J54</f>
        <v>1</v>
      </c>
    </row>
    <row r="33" spans="1:18" s="162" customFormat="1" ht="184.5" thickTop="1" thickBot="1" x14ac:dyDescent="0.25">
      <c r="A33" s="343" t="s">
        <v>256</v>
      </c>
      <c r="B33" s="343" t="s">
        <v>239</v>
      </c>
      <c r="C33" s="343" t="s">
        <v>228</v>
      </c>
      <c r="D33" s="343" t="s">
        <v>717</v>
      </c>
      <c r="E33" s="342">
        <f t="shared" si="15"/>
        <v>33162848</v>
      </c>
      <c r="F33" s="285">
        <f>(32917848)+195000+50000</f>
        <v>33162848</v>
      </c>
      <c r="G33" s="285">
        <f>(23883848)</f>
        <v>23883848</v>
      </c>
      <c r="H33" s="285">
        <v>2110447</v>
      </c>
      <c r="I33" s="285"/>
      <c r="J33" s="342">
        <f t="shared" si="14"/>
        <v>12351310</v>
      </c>
      <c r="K33" s="285">
        <f>(2500000)+2000000+619000</f>
        <v>5119000</v>
      </c>
      <c r="L33" s="285">
        <v>7117310</v>
      </c>
      <c r="M33" s="285">
        <v>2370000</v>
      </c>
      <c r="N33" s="285">
        <v>248940</v>
      </c>
      <c r="O33" s="303">
        <f>K33+115000</f>
        <v>5234000</v>
      </c>
      <c r="P33" s="342">
        <f t="shared" si="13"/>
        <v>45514158</v>
      </c>
      <c r="R33" s="205" t="b">
        <f>K33='d5'!J55+'d5'!J56+'d5'!J57</f>
        <v>1</v>
      </c>
    </row>
    <row r="34" spans="1:18" s="162" customFormat="1" ht="184.5" thickTop="1" thickBot="1" x14ac:dyDescent="0.25">
      <c r="A34" s="343" t="s">
        <v>257</v>
      </c>
      <c r="B34" s="343" t="s">
        <v>258</v>
      </c>
      <c r="C34" s="343" t="s">
        <v>259</v>
      </c>
      <c r="D34" s="343" t="s">
        <v>719</v>
      </c>
      <c r="E34" s="342">
        <f t="shared" si="15"/>
        <v>98915700</v>
      </c>
      <c r="F34" s="285">
        <f>(99925935)-800000-100000-400000+289765</f>
        <v>98915700</v>
      </c>
      <c r="G34" s="285">
        <v>60000000</v>
      </c>
      <c r="H34" s="285">
        <f>(11250195)-800000-100000-400000</f>
        <v>9950195</v>
      </c>
      <c r="I34" s="285"/>
      <c r="J34" s="342">
        <f>L34+O34</f>
        <v>21477810</v>
      </c>
      <c r="K34" s="285"/>
      <c r="L34" s="285">
        <f>20991810+30000</f>
        <v>21021810</v>
      </c>
      <c r="M34" s="285">
        <v>6715654</v>
      </c>
      <c r="N34" s="285">
        <f>6731270+30000</f>
        <v>6761270</v>
      </c>
      <c r="O34" s="303">
        <f>K34+486000-30000</f>
        <v>456000</v>
      </c>
      <c r="P34" s="342">
        <f t="shared" si="13"/>
        <v>120393510</v>
      </c>
      <c r="R34" s="205"/>
    </row>
    <row r="35" spans="1:18" s="162" customFormat="1" ht="93" thickTop="1" thickBot="1" x14ac:dyDescent="0.25">
      <c r="A35" s="343" t="s">
        <v>260</v>
      </c>
      <c r="B35" s="343" t="s">
        <v>261</v>
      </c>
      <c r="C35" s="343" t="s">
        <v>262</v>
      </c>
      <c r="D35" s="343" t="s">
        <v>720</v>
      </c>
      <c r="E35" s="342">
        <f t="shared" si="15"/>
        <v>5193490</v>
      </c>
      <c r="F35" s="285">
        <v>5193490</v>
      </c>
      <c r="G35" s="285">
        <v>3586600</v>
      </c>
      <c r="H35" s="285">
        <v>185490</v>
      </c>
      <c r="I35" s="285"/>
      <c r="J35" s="342">
        <f t="shared" si="14"/>
        <v>63500</v>
      </c>
      <c r="K35" s="285"/>
      <c r="L35" s="285">
        <v>63500</v>
      </c>
      <c r="M35" s="285"/>
      <c r="N35" s="285"/>
      <c r="O35" s="303">
        <f t="shared" ref="O35:O38" si="16">K35</f>
        <v>0</v>
      </c>
      <c r="P35" s="342">
        <f t="shared" si="13"/>
        <v>5256990</v>
      </c>
      <c r="R35" s="161"/>
    </row>
    <row r="36" spans="1:18" s="164" customFormat="1" ht="93" thickTop="1" thickBot="1" x14ac:dyDescent="0.25">
      <c r="A36" s="343" t="s">
        <v>390</v>
      </c>
      <c r="B36" s="343" t="s">
        <v>391</v>
      </c>
      <c r="C36" s="343" t="s">
        <v>262</v>
      </c>
      <c r="D36" s="343" t="s">
        <v>721</v>
      </c>
      <c r="E36" s="342">
        <f t="shared" si="15"/>
        <v>20190430</v>
      </c>
      <c r="F36" s="285">
        <f>(20115430)+30000+45000</f>
        <v>20190430</v>
      </c>
      <c r="G36" s="285">
        <v>15415700</v>
      </c>
      <c r="H36" s="285">
        <v>656555</v>
      </c>
      <c r="I36" s="285"/>
      <c r="J36" s="342">
        <f t="shared" si="14"/>
        <v>535640</v>
      </c>
      <c r="K36" s="285"/>
      <c r="L36" s="285">
        <v>535640</v>
      </c>
      <c r="M36" s="285">
        <v>87990</v>
      </c>
      <c r="N36" s="285">
        <v>8710</v>
      </c>
      <c r="O36" s="303">
        <f t="shared" si="16"/>
        <v>0</v>
      </c>
      <c r="P36" s="342">
        <f t="shared" si="13"/>
        <v>20726070</v>
      </c>
      <c r="R36" s="205"/>
    </row>
    <row r="37" spans="1:18" s="164" customFormat="1" ht="93" thickTop="1" thickBot="1" x14ac:dyDescent="0.25">
      <c r="A37" s="343" t="s">
        <v>411</v>
      </c>
      <c r="B37" s="343" t="s">
        <v>412</v>
      </c>
      <c r="C37" s="343" t="s">
        <v>262</v>
      </c>
      <c r="D37" s="343" t="s">
        <v>410</v>
      </c>
      <c r="E37" s="342">
        <f>F37</f>
        <v>156200</v>
      </c>
      <c r="F37" s="285">
        <v>156200</v>
      </c>
      <c r="G37" s="285"/>
      <c r="H37" s="285"/>
      <c r="I37" s="285"/>
      <c r="J37" s="342">
        <f t="shared" si="14"/>
        <v>0</v>
      </c>
      <c r="K37" s="285"/>
      <c r="L37" s="285"/>
      <c r="M37" s="285"/>
      <c r="N37" s="285"/>
      <c r="O37" s="303">
        <f t="shared" si="16"/>
        <v>0</v>
      </c>
      <c r="P37" s="342">
        <f t="shared" si="13"/>
        <v>156200</v>
      </c>
      <c r="R37" s="161"/>
    </row>
    <row r="38" spans="1:18" s="164" customFormat="1" ht="93" thickTop="1" thickBot="1" x14ac:dyDescent="0.25">
      <c r="A38" s="343" t="s">
        <v>547</v>
      </c>
      <c r="B38" s="343" t="s">
        <v>548</v>
      </c>
      <c r="C38" s="343" t="s">
        <v>262</v>
      </c>
      <c r="D38" s="343" t="s">
        <v>549</v>
      </c>
      <c r="E38" s="342">
        <f>F38</f>
        <v>4098587</v>
      </c>
      <c r="F38" s="285">
        <f>(2167787+1649700+1588600)-1307500</f>
        <v>4098587</v>
      </c>
      <c r="G38" s="285">
        <f>(1632700+1352200+1302100)-1071700</f>
        <v>3215300</v>
      </c>
      <c r="H38" s="285">
        <v>46382</v>
      </c>
      <c r="I38" s="285"/>
      <c r="J38" s="342">
        <f t="shared" si="14"/>
        <v>0</v>
      </c>
      <c r="K38" s="285"/>
      <c r="L38" s="285"/>
      <c r="M38" s="285"/>
      <c r="N38" s="285"/>
      <c r="O38" s="303">
        <f t="shared" si="16"/>
        <v>0</v>
      </c>
      <c r="P38" s="342">
        <f t="shared" ref="P38" si="17">E38+J38</f>
        <v>4098587</v>
      </c>
      <c r="R38" s="161"/>
    </row>
    <row r="39" spans="1:18" s="164" customFormat="1" ht="321.75" thickTop="1" thickBot="1" x14ac:dyDescent="0.25">
      <c r="A39" s="343" t="s">
        <v>551</v>
      </c>
      <c r="B39" s="343" t="s">
        <v>552</v>
      </c>
      <c r="C39" s="343" t="s">
        <v>232</v>
      </c>
      <c r="D39" s="343" t="s">
        <v>550</v>
      </c>
      <c r="E39" s="342">
        <f>F39</f>
        <v>2100000</v>
      </c>
      <c r="F39" s="285">
        <v>2100000</v>
      </c>
      <c r="G39" s="285"/>
      <c r="H39" s="285"/>
      <c r="I39" s="285"/>
      <c r="J39" s="342">
        <f>L39+O39</f>
        <v>0</v>
      </c>
      <c r="K39" s="285"/>
      <c r="L39" s="285"/>
      <c r="M39" s="285"/>
      <c r="N39" s="285"/>
      <c r="O39" s="303">
        <f>K39</f>
        <v>0</v>
      </c>
      <c r="P39" s="342">
        <f>E39+J39</f>
        <v>2100000</v>
      </c>
      <c r="R39" s="161"/>
    </row>
    <row r="40" spans="1:18" s="164" customFormat="1" ht="48" thickTop="1" thickBot="1" x14ac:dyDescent="0.25">
      <c r="A40" s="406" t="s">
        <v>769</v>
      </c>
      <c r="B40" s="406" t="s">
        <v>264</v>
      </c>
      <c r="C40" s="406" t="s">
        <v>265</v>
      </c>
      <c r="D40" s="406" t="s">
        <v>53</v>
      </c>
      <c r="E40" s="403">
        <f>F40</f>
        <v>0</v>
      </c>
      <c r="F40" s="285"/>
      <c r="G40" s="285"/>
      <c r="H40" s="285"/>
      <c r="I40" s="285"/>
      <c r="J40" s="403">
        <f>L40+O40</f>
        <v>992490.88</v>
      </c>
      <c r="K40" s="285">
        <v>992490.88</v>
      </c>
      <c r="L40" s="285"/>
      <c r="M40" s="285"/>
      <c r="N40" s="285"/>
      <c r="O40" s="405">
        <f>K40</f>
        <v>992490.88</v>
      </c>
      <c r="P40" s="403">
        <f>E40+J40</f>
        <v>992490.88</v>
      </c>
      <c r="R40" s="205" t="b">
        <f>K40='d5'!J61</f>
        <v>1</v>
      </c>
    </row>
    <row r="41" spans="1:18" s="162" customFormat="1" ht="136.5" thickTop="1" thickBot="1" x14ac:dyDescent="0.25">
      <c r="A41" s="413" t="s">
        <v>196</v>
      </c>
      <c r="B41" s="413"/>
      <c r="C41" s="413"/>
      <c r="D41" s="414" t="s">
        <v>22</v>
      </c>
      <c r="E41" s="415">
        <f>E42</f>
        <v>161779686.13</v>
      </c>
      <c r="F41" s="416">
        <f t="shared" ref="F41" si="18">F42</f>
        <v>161779686.13</v>
      </c>
      <c r="G41" s="416">
        <f t="shared" ref="G41" si="19">G42</f>
        <v>3512364</v>
      </c>
      <c r="H41" s="416">
        <f>H42</f>
        <v>139601</v>
      </c>
      <c r="I41" s="415">
        <f t="shared" ref="I41" si="20">I42</f>
        <v>0</v>
      </c>
      <c r="J41" s="415">
        <f>J42</f>
        <v>29063907.600000001</v>
      </c>
      <c r="K41" s="416">
        <f>K42</f>
        <v>29041907.600000001</v>
      </c>
      <c r="L41" s="416">
        <f>L42</f>
        <v>22000</v>
      </c>
      <c r="M41" s="416">
        <f t="shared" ref="M41" si="21">M42</f>
        <v>0</v>
      </c>
      <c r="N41" s="415">
        <f>N42</f>
        <v>0</v>
      </c>
      <c r="O41" s="415">
        <f>O42</f>
        <v>29041907.600000001</v>
      </c>
      <c r="P41" s="416">
        <f>P42</f>
        <v>190843593.72999999</v>
      </c>
    </row>
    <row r="42" spans="1:18" s="162" customFormat="1" ht="136.5" thickTop="1" thickBot="1" x14ac:dyDescent="0.25">
      <c r="A42" s="417" t="s">
        <v>197</v>
      </c>
      <c r="B42" s="417"/>
      <c r="C42" s="417"/>
      <c r="D42" s="418" t="s">
        <v>45</v>
      </c>
      <c r="E42" s="419">
        <f>SUM(E43:E54)</f>
        <v>161779686.13</v>
      </c>
      <c r="F42" s="419">
        <f t="shared" ref="F42:H42" si="22">SUM(F43:F54)</f>
        <v>161779686.13</v>
      </c>
      <c r="G42" s="419">
        <f t="shared" si="22"/>
        <v>3512364</v>
      </c>
      <c r="H42" s="419">
        <f t="shared" si="22"/>
        <v>139601</v>
      </c>
      <c r="I42" s="419">
        <f>SUM(I43:I54)</f>
        <v>0</v>
      </c>
      <c r="J42" s="419">
        <f>L42+O42</f>
        <v>29063907.600000001</v>
      </c>
      <c r="K42" s="419">
        <f>SUM(K43:K54)</f>
        <v>29041907.600000001</v>
      </c>
      <c r="L42" s="419">
        <f>SUM(L43:L54)</f>
        <v>22000</v>
      </c>
      <c r="M42" s="419">
        <f>SUM(M43:M54)</f>
        <v>0</v>
      </c>
      <c r="N42" s="419">
        <f>SUM(N43:N54)</f>
        <v>0</v>
      </c>
      <c r="O42" s="419">
        <f>SUM(O43:O54)</f>
        <v>29041907.600000001</v>
      </c>
      <c r="P42" s="420">
        <f t="shared" ref="P42:P54" si="23">E42+J42</f>
        <v>190843593.72999999</v>
      </c>
      <c r="Q42" s="205" t="b">
        <f>P42=P44+P46+P47+P48+P49+P51+P52+P43+P53+P50+P45+P54</f>
        <v>1</v>
      </c>
      <c r="R42" s="205" t="b">
        <f>K42='d5'!J62</f>
        <v>1</v>
      </c>
    </row>
    <row r="43" spans="1:18" s="162" customFormat="1" ht="230.25" thickTop="1" thickBot="1" x14ac:dyDescent="0.25">
      <c r="A43" s="343" t="s">
        <v>517</v>
      </c>
      <c r="B43" s="343" t="s">
        <v>288</v>
      </c>
      <c r="C43" s="343" t="s">
        <v>286</v>
      </c>
      <c r="D43" s="343" t="s">
        <v>287</v>
      </c>
      <c r="E43" s="342">
        <f>F43</f>
        <v>2026703</v>
      </c>
      <c r="F43" s="285">
        <f>(2100703)-74000</f>
        <v>2026703</v>
      </c>
      <c r="G43" s="285">
        <f>(1584000)-60900</f>
        <v>1523100</v>
      </c>
      <c r="H43" s="285">
        <f>(61103)+10000</f>
        <v>71103</v>
      </c>
      <c r="I43" s="285"/>
      <c r="J43" s="342">
        <f t="shared" ref="J43:J54" si="24">L43+O43</f>
        <v>0</v>
      </c>
      <c r="K43" s="342"/>
      <c r="L43" s="342"/>
      <c r="M43" s="342"/>
      <c r="N43" s="342"/>
      <c r="O43" s="303">
        <f>K43</f>
        <v>0</v>
      </c>
      <c r="P43" s="342">
        <f t="shared" si="23"/>
        <v>2026703</v>
      </c>
      <c r="Q43" s="161"/>
      <c r="R43" s="161"/>
    </row>
    <row r="44" spans="1:18" s="162" customFormat="1" ht="93" thickTop="1" thickBot="1" x14ac:dyDescent="0.25">
      <c r="A44" s="343" t="s">
        <v>266</v>
      </c>
      <c r="B44" s="343" t="s">
        <v>263</v>
      </c>
      <c r="C44" s="343" t="s">
        <v>267</v>
      </c>
      <c r="D44" s="343" t="s">
        <v>23</v>
      </c>
      <c r="E44" s="342">
        <f>F44</f>
        <v>72784041</v>
      </c>
      <c r="F44" s="285">
        <f>(((68982241+2148400)+3200000)+200000+10000)-2000000+94400-600000+600000+149000</f>
        <v>72784041</v>
      </c>
      <c r="G44" s="285"/>
      <c r="H44" s="285"/>
      <c r="I44" s="285"/>
      <c r="J44" s="342">
        <f t="shared" si="24"/>
        <v>10087110</v>
      </c>
      <c r="K44" s="285">
        <f>(12800000)-610000-2102890</f>
        <v>10087110</v>
      </c>
      <c r="L44" s="285"/>
      <c r="M44" s="285"/>
      <c r="N44" s="285"/>
      <c r="O44" s="303">
        <f>K44</f>
        <v>10087110</v>
      </c>
      <c r="P44" s="342">
        <f t="shared" si="23"/>
        <v>82871151</v>
      </c>
      <c r="R44" s="205" t="b">
        <f>K44='d5'!J64</f>
        <v>1</v>
      </c>
    </row>
    <row r="45" spans="1:18" s="162" customFormat="1" ht="93" thickTop="1" thickBot="1" x14ac:dyDescent="0.25">
      <c r="A45" s="343" t="s">
        <v>725</v>
      </c>
      <c r="B45" s="343" t="s">
        <v>728</v>
      </c>
      <c r="C45" s="343" t="s">
        <v>727</v>
      </c>
      <c r="D45" s="343" t="s">
        <v>726</v>
      </c>
      <c r="E45" s="342">
        <f>F45</f>
        <v>7981320</v>
      </c>
      <c r="F45" s="285">
        <f>(2850000+3362320)+1769000</f>
        <v>7981320</v>
      </c>
      <c r="G45" s="285"/>
      <c r="H45" s="285"/>
      <c r="I45" s="285"/>
      <c r="J45" s="342">
        <f t="shared" si="24"/>
        <v>0</v>
      </c>
      <c r="K45" s="285"/>
      <c r="L45" s="285"/>
      <c r="M45" s="285"/>
      <c r="N45" s="285"/>
      <c r="O45" s="303"/>
      <c r="P45" s="342">
        <f t="shared" si="23"/>
        <v>7981320</v>
      </c>
      <c r="R45" s="161"/>
    </row>
    <row r="46" spans="1:18" s="162" customFormat="1" ht="138.75" thickTop="1" thickBot="1" x14ac:dyDescent="0.25">
      <c r="A46" s="343" t="s">
        <v>268</v>
      </c>
      <c r="B46" s="343" t="s">
        <v>269</v>
      </c>
      <c r="C46" s="343" t="s">
        <v>270</v>
      </c>
      <c r="D46" s="343" t="s">
        <v>271</v>
      </c>
      <c r="E46" s="342">
        <f t="shared" ref="E46:E50" si="25">F46</f>
        <v>21581969.399999999</v>
      </c>
      <c r="F46" s="285">
        <f>((21374445)+500000)+124500-300000-200000+83024.4</f>
        <v>21581969.399999999</v>
      </c>
      <c r="G46" s="285"/>
      <c r="H46" s="285"/>
      <c r="I46" s="285"/>
      <c r="J46" s="342">
        <f t="shared" si="24"/>
        <v>0</v>
      </c>
      <c r="K46" s="285"/>
      <c r="L46" s="285"/>
      <c r="M46" s="285"/>
      <c r="N46" s="285"/>
      <c r="O46" s="303">
        <f>K46</f>
        <v>0</v>
      </c>
      <c r="P46" s="342">
        <f t="shared" si="23"/>
        <v>21581969.399999999</v>
      </c>
      <c r="R46" s="161"/>
    </row>
    <row r="47" spans="1:18" s="162" customFormat="1" ht="138.75" thickTop="1" thickBot="1" x14ac:dyDescent="0.25">
      <c r="A47" s="343" t="s">
        <v>272</v>
      </c>
      <c r="B47" s="343" t="s">
        <v>273</v>
      </c>
      <c r="C47" s="343" t="s">
        <v>274</v>
      </c>
      <c r="D47" s="343" t="s">
        <v>422</v>
      </c>
      <c r="E47" s="342">
        <f t="shared" si="25"/>
        <v>23046098</v>
      </c>
      <c r="F47" s="285">
        <f>(((18403027)+500000)+134200)+1000000+692407+152330+216000+47520+235405+51789+500000+148120+965300</f>
        <v>23046098</v>
      </c>
      <c r="G47" s="285"/>
      <c r="H47" s="285"/>
      <c r="I47" s="285"/>
      <c r="J47" s="342">
        <f t="shared" si="24"/>
        <v>0</v>
      </c>
      <c r="K47" s="285"/>
      <c r="L47" s="285"/>
      <c r="M47" s="285"/>
      <c r="N47" s="285"/>
      <c r="O47" s="303">
        <f>K47</f>
        <v>0</v>
      </c>
      <c r="P47" s="342">
        <f t="shared" si="23"/>
        <v>23046098</v>
      </c>
      <c r="R47" s="161"/>
    </row>
    <row r="48" spans="1:18" s="162" customFormat="1" ht="93" thickTop="1" thickBot="1" x14ac:dyDescent="0.25">
      <c r="A48" s="343" t="s">
        <v>275</v>
      </c>
      <c r="B48" s="343" t="s">
        <v>276</v>
      </c>
      <c r="C48" s="343" t="s">
        <v>277</v>
      </c>
      <c r="D48" s="343" t="s">
        <v>278</v>
      </c>
      <c r="E48" s="342">
        <f t="shared" si="25"/>
        <v>7553822</v>
      </c>
      <c r="F48" s="285">
        <v>7553822</v>
      </c>
      <c r="G48" s="285"/>
      <c r="H48" s="285"/>
      <c r="I48" s="285"/>
      <c r="J48" s="342">
        <f t="shared" si="24"/>
        <v>0</v>
      </c>
      <c r="K48" s="285"/>
      <c r="L48" s="285"/>
      <c r="M48" s="285"/>
      <c r="N48" s="285"/>
      <c r="O48" s="303">
        <f>K48</f>
        <v>0</v>
      </c>
      <c r="P48" s="342">
        <f t="shared" si="23"/>
        <v>7553822</v>
      </c>
      <c r="R48" s="161"/>
    </row>
    <row r="49" spans="1:20" s="162" customFormat="1" ht="184.5" thickTop="1" thickBot="1" x14ac:dyDescent="0.25">
      <c r="A49" s="343" t="s">
        <v>279</v>
      </c>
      <c r="B49" s="343" t="s">
        <v>280</v>
      </c>
      <c r="C49" s="343" t="s">
        <v>423</v>
      </c>
      <c r="D49" s="343" t="s">
        <v>281</v>
      </c>
      <c r="E49" s="342">
        <f t="shared" si="25"/>
        <v>8923043</v>
      </c>
      <c r="F49" s="285">
        <v>8923043</v>
      </c>
      <c r="G49" s="285"/>
      <c r="H49" s="285"/>
      <c r="I49" s="285"/>
      <c r="J49" s="342">
        <f t="shared" si="24"/>
        <v>0</v>
      </c>
      <c r="K49" s="285"/>
      <c r="L49" s="285"/>
      <c r="M49" s="285"/>
      <c r="N49" s="285"/>
      <c r="O49" s="303">
        <f t="shared" ref="O49:O54" si="26">K49</f>
        <v>0</v>
      </c>
      <c r="P49" s="342">
        <f t="shared" si="23"/>
        <v>8923043</v>
      </c>
      <c r="R49" s="161"/>
    </row>
    <row r="50" spans="1:20" s="162" customFormat="1" ht="138.75" thickTop="1" thickBot="1" x14ac:dyDescent="0.25">
      <c r="A50" s="343" t="s">
        <v>679</v>
      </c>
      <c r="B50" s="343" t="s">
        <v>680</v>
      </c>
      <c r="C50" s="343" t="s">
        <v>282</v>
      </c>
      <c r="D50" s="343" t="s">
        <v>681</v>
      </c>
      <c r="E50" s="342">
        <f t="shared" si="25"/>
        <v>8987396.6899999995</v>
      </c>
      <c r="F50" s="285">
        <f>((2180400)+6806900)+96.69</f>
        <v>8987396.6899999995</v>
      </c>
      <c r="G50" s="285"/>
      <c r="H50" s="285"/>
      <c r="I50" s="285"/>
      <c r="J50" s="342">
        <f t="shared" si="24"/>
        <v>0</v>
      </c>
      <c r="K50" s="285"/>
      <c r="L50" s="285"/>
      <c r="M50" s="285"/>
      <c r="N50" s="285"/>
      <c r="O50" s="303">
        <f t="shared" si="26"/>
        <v>0</v>
      </c>
      <c r="P50" s="342">
        <f t="shared" si="23"/>
        <v>8987396.6899999995</v>
      </c>
      <c r="R50" s="161"/>
    </row>
    <row r="51" spans="1:20" s="164" customFormat="1" ht="93" thickTop="1" thickBot="1" x14ac:dyDescent="0.25">
      <c r="A51" s="343" t="s">
        <v>394</v>
      </c>
      <c r="B51" s="343" t="s">
        <v>396</v>
      </c>
      <c r="C51" s="343" t="s">
        <v>282</v>
      </c>
      <c r="D51" s="287" t="s">
        <v>392</v>
      </c>
      <c r="E51" s="342">
        <f t="shared" ref="E51:E54" si="27">F51</f>
        <v>4568993.04</v>
      </c>
      <c r="F51" s="285">
        <f>(4075758)+500000+53235.04-50000-10000</f>
        <v>4568993.04</v>
      </c>
      <c r="G51" s="285">
        <v>1989264</v>
      </c>
      <c r="H51" s="285">
        <v>68498</v>
      </c>
      <c r="I51" s="285"/>
      <c r="J51" s="342">
        <f t="shared" si="24"/>
        <v>22000</v>
      </c>
      <c r="K51" s="285"/>
      <c r="L51" s="285">
        <v>22000</v>
      </c>
      <c r="M51" s="285"/>
      <c r="N51" s="285"/>
      <c r="O51" s="303">
        <f t="shared" si="26"/>
        <v>0</v>
      </c>
      <c r="P51" s="342">
        <f t="shared" si="23"/>
        <v>4590993.04</v>
      </c>
      <c r="R51" s="161"/>
    </row>
    <row r="52" spans="1:20" s="164" customFormat="1" ht="93" thickTop="1" thickBot="1" x14ac:dyDescent="0.25">
      <c r="A52" s="343" t="s">
        <v>395</v>
      </c>
      <c r="B52" s="343" t="s">
        <v>397</v>
      </c>
      <c r="C52" s="343" t="s">
        <v>282</v>
      </c>
      <c r="D52" s="287" t="s">
        <v>393</v>
      </c>
      <c r="E52" s="342">
        <f t="shared" si="27"/>
        <v>4326300</v>
      </c>
      <c r="F52" s="285">
        <f>(4201600)+1000000+90000-965300</f>
        <v>4326300</v>
      </c>
      <c r="G52" s="285"/>
      <c r="H52" s="285"/>
      <c r="I52" s="285"/>
      <c r="J52" s="342">
        <f t="shared" si="24"/>
        <v>0</v>
      </c>
      <c r="K52" s="285"/>
      <c r="L52" s="285"/>
      <c r="M52" s="285"/>
      <c r="N52" s="285"/>
      <c r="O52" s="303">
        <f t="shared" si="26"/>
        <v>0</v>
      </c>
      <c r="P52" s="342">
        <f t="shared" si="23"/>
        <v>4326300</v>
      </c>
      <c r="R52" s="161"/>
    </row>
    <row r="53" spans="1:20" s="164" customFormat="1" ht="93" thickTop="1" thickBot="1" x14ac:dyDescent="0.25">
      <c r="A53" s="343" t="s">
        <v>566</v>
      </c>
      <c r="B53" s="343" t="s">
        <v>245</v>
      </c>
      <c r="C53" s="343" t="s">
        <v>212</v>
      </c>
      <c r="D53" s="343" t="s">
        <v>43</v>
      </c>
      <c r="E53" s="342">
        <f t="shared" si="27"/>
        <v>0</v>
      </c>
      <c r="F53" s="285"/>
      <c r="G53" s="285"/>
      <c r="H53" s="285"/>
      <c r="I53" s="285"/>
      <c r="J53" s="342">
        <f t="shared" si="24"/>
        <v>18954797.600000001</v>
      </c>
      <c r="K53" s="285">
        <f>((13764600)+1090122)+457500+3257900+139000+175000-124600-21000+10000+15500-109985-26200+300000+109985+28000-111024.4</f>
        <v>18954797.600000001</v>
      </c>
      <c r="L53" s="285"/>
      <c r="M53" s="285"/>
      <c r="N53" s="285"/>
      <c r="O53" s="303">
        <f t="shared" si="26"/>
        <v>18954797.600000001</v>
      </c>
      <c r="P53" s="342">
        <f t="shared" si="23"/>
        <v>18954797.600000001</v>
      </c>
      <c r="R53" s="205" t="b">
        <f>K53='d5'!J65+'d5'!J66+'d5'!J67+'d5'!J68+'d5'!J69+'d5'!J70+'d5'!J72+'d5'!J73</f>
        <v>1</v>
      </c>
    </row>
    <row r="54" spans="1:20" s="164" customFormat="1" ht="93" hidden="1" thickTop="1" thickBot="1" x14ac:dyDescent="0.25">
      <c r="A54" s="348" t="s">
        <v>729</v>
      </c>
      <c r="B54" s="348" t="s">
        <v>446</v>
      </c>
      <c r="C54" s="348" t="s">
        <v>55</v>
      </c>
      <c r="D54" s="348" t="s">
        <v>447</v>
      </c>
      <c r="E54" s="349">
        <f t="shared" si="27"/>
        <v>0</v>
      </c>
      <c r="F54" s="351"/>
      <c r="G54" s="351"/>
      <c r="H54" s="351"/>
      <c r="I54" s="351"/>
      <c r="J54" s="349">
        <f t="shared" si="24"/>
        <v>0</v>
      </c>
      <c r="K54" s="351"/>
      <c r="L54" s="351"/>
      <c r="M54" s="351"/>
      <c r="N54" s="351"/>
      <c r="O54" s="350">
        <f t="shared" si="26"/>
        <v>0</v>
      </c>
      <c r="P54" s="349">
        <f t="shared" si="23"/>
        <v>0</v>
      </c>
      <c r="R54" s="205"/>
    </row>
    <row r="55" spans="1:20" s="162" customFormat="1" ht="181.5" thickTop="1" thickBot="1" x14ac:dyDescent="0.25">
      <c r="A55" s="413" t="s">
        <v>198</v>
      </c>
      <c r="B55" s="413"/>
      <c r="C55" s="413"/>
      <c r="D55" s="414" t="s">
        <v>46</v>
      </c>
      <c r="E55" s="415">
        <f>E56</f>
        <v>202486312</v>
      </c>
      <c r="F55" s="416">
        <f t="shared" ref="F55" si="28">F56</f>
        <v>202486312</v>
      </c>
      <c r="G55" s="416">
        <f t="shared" ref="G55" si="29">G56</f>
        <v>54126126</v>
      </c>
      <c r="H55" s="416">
        <f>H56</f>
        <v>1829416</v>
      </c>
      <c r="I55" s="415">
        <f t="shared" ref="I55" si="30">I56</f>
        <v>0</v>
      </c>
      <c r="J55" s="415">
        <f>J56</f>
        <v>12030999</v>
      </c>
      <c r="K55" s="416">
        <f>K56</f>
        <v>11510999</v>
      </c>
      <c r="L55" s="416">
        <f>L56</f>
        <v>520000</v>
      </c>
      <c r="M55" s="416">
        <f t="shared" ref="M55" si="31">M56</f>
        <v>125000</v>
      </c>
      <c r="N55" s="415">
        <f>N56</f>
        <v>67900</v>
      </c>
      <c r="O55" s="415">
        <f>O56</f>
        <v>11510999</v>
      </c>
      <c r="P55" s="416">
        <f>P56</f>
        <v>214517311</v>
      </c>
    </row>
    <row r="56" spans="1:20" s="162" customFormat="1" ht="181.5" thickTop="1" thickBot="1" x14ac:dyDescent="0.25">
      <c r="A56" s="417" t="s">
        <v>199</v>
      </c>
      <c r="B56" s="417"/>
      <c r="C56" s="417"/>
      <c r="D56" s="418" t="s">
        <v>47</v>
      </c>
      <c r="E56" s="419">
        <f>SUM(E57:E77)</f>
        <v>202486312</v>
      </c>
      <c r="F56" s="419">
        <f>SUM(F57:F77)</f>
        <v>202486312</v>
      </c>
      <c r="G56" s="419">
        <f>SUM(G57:G77)</f>
        <v>54126126</v>
      </c>
      <c r="H56" s="419">
        <f>SUM(H57:H77)</f>
        <v>1829416</v>
      </c>
      <c r="I56" s="419">
        <f>SUM(I57:I77)</f>
        <v>0</v>
      </c>
      <c r="J56" s="419">
        <f t="shared" ref="J56:J71" si="32">L56+O56</f>
        <v>12030999</v>
      </c>
      <c r="K56" s="419">
        <f>SUM(K57:K77)</f>
        <v>11510999</v>
      </c>
      <c r="L56" s="419">
        <f>SUM(L57:L77)</f>
        <v>520000</v>
      </c>
      <c r="M56" s="419">
        <f>SUM(M57:M77)</f>
        <v>125000</v>
      </c>
      <c r="N56" s="419">
        <f>SUM(N57:N77)</f>
        <v>67900</v>
      </c>
      <c r="O56" s="419">
        <f>SUM(O57:O77)</f>
        <v>11510999</v>
      </c>
      <c r="P56" s="420">
        <f t="shared" ref="P56:P66" si="33">E56+J56</f>
        <v>214517311</v>
      </c>
      <c r="Q56" s="167" t="b">
        <f>P56=P58+P59+P60+P61+P62+P65+P66+P67+P69+P70+P72+P73+P74+P71+P75+P57+P76+P63+P64+P68</f>
        <v>1</v>
      </c>
      <c r="R56" s="168" t="b">
        <f>K56='d5'!J75</f>
        <v>1</v>
      </c>
      <c r="T56" s="167"/>
    </row>
    <row r="57" spans="1:20" s="162" customFormat="1" ht="230.25" thickTop="1" thickBot="1" x14ac:dyDescent="0.25">
      <c r="A57" s="343" t="s">
        <v>516</v>
      </c>
      <c r="B57" s="343" t="s">
        <v>288</v>
      </c>
      <c r="C57" s="343" t="s">
        <v>286</v>
      </c>
      <c r="D57" s="343" t="s">
        <v>287</v>
      </c>
      <c r="E57" s="342">
        <f t="shared" ref="E57" si="34">F57</f>
        <v>42219258</v>
      </c>
      <c r="F57" s="285">
        <f>(43737200-796642)-721300</f>
        <v>42219258</v>
      </c>
      <c r="G57" s="285">
        <f>(33000000-396642)-572800</f>
        <v>32030558</v>
      </c>
      <c r="H57" s="285">
        <f>(845700)-55200+3000</f>
        <v>793500</v>
      </c>
      <c r="I57" s="285"/>
      <c r="J57" s="342">
        <f t="shared" si="32"/>
        <v>900000</v>
      </c>
      <c r="K57" s="285">
        <f>(900000)</f>
        <v>900000</v>
      </c>
      <c r="L57" s="285"/>
      <c r="M57" s="285"/>
      <c r="N57" s="285"/>
      <c r="O57" s="303">
        <f>K57</f>
        <v>900000</v>
      </c>
      <c r="P57" s="342">
        <f t="shared" si="33"/>
        <v>43119258</v>
      </c>
      <c r="Q57" s="167"/>
      <c r="R57" s="168" t="b">
        <f>K57='d5'!J76+'d5'!J77</f>
        <v>1</v>
      </c>
      <c r="T57" s="167"/>
    </row>
    <row r="58" spans="1:20" s="164" customFormat="1" ht="138.75" thickTop="1" thickBot="1" x14ac:dyDescent="0.25">
      <c r="A58" s="343" t="s">
        <v>322</v>
      </c>
      <c r="B58" s="343" t="s">
        <v>323</v>
      </c>
      <c r="C58" s="343" t="s">
        <v>253</v>
      </c>
      <c r="D58" s="286" t="s">
        <v>324</v>
      </c>
      <c r="E58" s="342">
        <f>F58</f>
        <v>570000</v>
      </c>
      <c r="F58" s="285">
        <v>570000</v>
      </c>
      <c r="G58" s="285"/>
      <c r="H58" s="285"/>
      <c r="I58" s="285"/>
      <c r="J58" s="342">
        <f t="shared" si="32"/>
        <v>150000</v>
      </c>
      <c r="K58" s="285">
        <f>(100000)+50000</f>
        <v>150000</v>
      </c>
      <c r="L58" s="285"/>
      <c r="M58" s="285"/>
      <c r="N58" s="285"/>
      <c r="O58" s="303">
        <f t="shared" ref="O58:O71" si="35">K58</f>
        <v>150000</v>
      </c>
      <c r="P58" s="342">
        <f t="shared" si="33"/>
        <v>720000</v>
      </c>
      <c r="R58" s="168" t="b">
        <f>K58='d5'!J78</f>
        <v>1</v>
      </c>
    </row>
    <row r="59" spans="1:20" s="164" customFormat="1" ht="138.75" thickTop="1" thickBot="1" x14ac:dyDescent="0.25">
      <c r="A59" s="343" t="s">
        <v>325</v>
      </c>
      <c r="B59" s="343" t="s">
        <v>326</v>
      </c>
      <c r="C59" s="343" t="s">
        <v>254</v>
      </c>
      <c r="D59" s="343" t="s">
        <v>7</v>
      </c>
      <c r="E59" s="342">
        <f t="shared" ref="E59:E68" si="36">F59</f>
        <v>1410000</v>
      </c>
      <c r="F59" s="285">
        <v>1410000</v>
      </c>
      <c r="G59" s="285"/>
      <c r="H59" s="285"/>
      <c r="I59" s="285"/>
      <c r="J59" s="342">
        <f t="shared" si="32"/>
        <v>0</v>
      </c>
      <c r="K59" s="285"/>
      <c r="L59" s="285"/>
      <c r="M59" s="285"/>
      <c r="N59" s="285"/>
      <c r="O59" s="303">
        <f t="shared" si="35"/>
        <v>0</v>
      </c>
      <c r="P59" s="342">
        <f t="shared" si="33"/>
        <v>1410000</v>
      </c>
      <c r="R59" s="168"/>
    </row>
    <row r="60" spans="1:20" s="164" customFormat="1" ht="184.5" thickTop="1" thickBot="1" x14ac:dyDescent="0.25">
      <c r="A60" s="343" t="s">
        <v>328</v>
      </c>
      <c r="B60" s="343" t="s">
        <v>329</v>
      </c>
      <c r="C60" s="343" t="s">
        <v>254</v>
      </c>
      <c r="D60" s="343" t="s">
        <v>8</v>
      </c>
      <c r="E60" s="342">
        <f t="shared" si="36"/>
        <v>7900000</v>
      </c>
      <c r="F60" s="285">
        <f>(9000000)-1100000</f>
        <v>7900000</v>
      </c>
      <c r="G60" s="285"/>
      <c r="H60" s="285"/>
      <c r="I60" s="285"/>
      <c r="J60" s="342">
        <f t="shared" si="32"/>
        <v>0</v>
      </c>
      <c r="K60" s="285"/>
      <c r="L60" s="285"/>
      <c r="M60" s="285"/>
      <c r="N60" s="285"/>
      <c r="O60" s="303">
        <f t="shared" si="35"/>
        <v>0</v>
      </c>
      <c r="P60" s="342">
        <f t="shared" si="33"/>
        <v>7900000</v>
      </c>
      <c r="R60" s="168"/>
    </row>
    <row r="61" spans="1:20" s="164" customFormat="1" ht="184.5" thickTop="1" thickBot="1" x14ac:dyDescent="0.25">
      <c r="A61" s="343" t="s">
        <v>330</v>
      </c>
      <c r="B61" s="343" t="s">
        <v>327</v>
      </c>
      <c r="C61" s="343" t="s">
        <v>254</v>
      </c>
      <c r="D61" s="343" t="s">
        <v>9</v>
      </c>
      <c r="E61" s="342">
        <f t="shared" si="36"/>
        <v>600000</v>
      </c>
      <c r="F61" s="285">
        <v>600000</v>
      </c>
      <c r="G61" s="285"/>
      <c r="H61" s="285"/>
      <c r="I61" s="285"/>
      <c r="J61" s="342">
        <f t="shared" si="32"/>
        <v>0</v>
      </c>
      <c r="K61" s="285"/>
      <c r="L61" s="285"/>
      <c r="M61" s="285"/>
      <c r="N61" s="285"/>
      <c r="O61" s="303">
        <f t="shared" si="35"/>
        <v>0</v>
      </c>
      <c r="P61" s="342">
        <f t="shared" si="33"/>
        <v>600000</v>
      </c>
      <c r="R61" s="168"/>
    </row>
    <row r="62" spans="1:20" s="164" customFormat="1" ht="184.5" thickTop="1" thickBot="1" x14ac:dyDescent="0.25">
      <c r="A62" s="343" t="s">
        <v>331</v>
      </c>
      <c r="B62" s="343" t="s">
        <v>332</v>
      </c>
      <c r="C62" s="343" t="s">
        <v>254</v>
      </c>
      <c r="D62" s="343" t="s">
        <v>11</v>
      </c>
      <c r="E62" s="342">
        <f t="shared" si="36"/>
        <v>76800000</v>
      </c>
      <c r="F62" s="285">
        <f>(102000000-18700000)-6500000</f>
        <v>76800000</v>
      </c>
      <c r="G62" s="285"/>
      <c r="H62" s="285"/>
      <c r="I62" s="285"/>
      <c r="J62" s="342">
        <f t="shared" si="32"/>
        <v>0</v>
      </c>
      <c r="K62" s="285"/>
      <c r="L62" s="285"/>
      <c r="M62" s="285"/>
      <c r="N62" s="285"/>
      <c r="O62" s="303">
        <f t="shared" si="35"/>
        <v>0</v>
      </c>
      <c r="P62" s="342">
        <f t="shared" si="33"/>
        <v>76800000</v>
      </c>
      <c r="R62" s="168"/>
    </row>
    <row r="63" spans="1:20" s="164" customFormat="1" ht="138.75" thickTop="1" thickBot="1" x14ac:dyDescent="0.25">
      <c r="A63" s="343" t="s">
        <v>682</v>
      </c>
      <c r="B63" s="343" t="s">
        <v>683</v>
      </c>
      <c r="C63" s="343" t="s">
        <v>254</v>
      </c>
      <c r="D63" s="343" t="s">
        <v>684</v>
      </c>
      <c r="E63" s="342">
        <f t="shared" si="36"/>
        <v>194834</v>
      </c>
      <c r="F63" s="285">
        <v>194834</v>
      </c>
      <c r="G63" s="285"/>
      <c r="H63" s="285"/>
      <c r="I63" s="285"/>
      <c r="J63" s="342">
        <f t="shared" si="32"/>
        <v>0</v>
      </c>
      <c r="K63" s="285"/>
      <c r="L63" s="285"/>
      <c r="M63" s="285"/>
      <c r="N63" s="285"/>
      <c r="O63" s="303">
        <f t="shared" si="35"/>
        <v>0</v>
      </c>
      <c r="P63" s="342">
        <f t="shared" si="33"/>
        <v>194834</v>
      </c>
      <c r="R63" s="202"/>
    </row>
    <row r="64" spans="1:20" s="164" customFormat="1" ht="138.75" thickTop="1" thickBot="1" x14ac:dyDescent="0.25">
      <c r="A64" s="343" t="s">
        <v>685</v>
      </c>
      <c r="B64" s="343" t="s">
        <v>686</v>
      </c>
      <c r="C64" s="343" t="s">
        <v>253</v>
      </c>
      <c r="D64" s="343" t="s">
        <v>687</v>
      </c>
      <c r="E64" s="342">
        <f t="shared" si="36"/>
        <v>249955</v>
      </c>
      <c r="F64" s="285">
        <v>249955</v>
      </c>
      <c r="G64" s="285"/>
      <c r="H64" s="285"/>
      <c r="I64" s="285"/>
      <c r="J64" s="342">
        <f t="shared" si="32"/>
        <v>0</v>
      </c>
      <c r="K64" s="285"/>
      <c r="L64" s="285"/>
      <c r="M64" s="285"/>
      <c r="N64" s="285"/>
      <c r="O64" s="303">
        <f>K64</f>
        <v>0</v>
      </c>
      <c r="P64" s="342">
        <f t="shared" ref="P64" si="37">E64+J64</f>
        <v>249955</v>
      </c>
      <c r="R64" s="202"/>
    </row>
    <row r="65" spans="1:18" s="162" customFormat="1" ht="276" thickTop="1" thickBot="1" x14ac:dyDescent="0.25">
      <c r="A65" s="343" t="s">
        <v>320</v>
      </c>
      <c r="B65" s="343" t="s">
        <v>318</v>
      </c>
      <c r="C65" s="343" t="s">
        <v>248</v>
      </c>
      <c r="D65" s="343" t="s">
        <v>21</v>
      </c>
      <c r="E65" s="342">
        <f t="shared" si="36"/>
        <v>21241028</v>
      </c>
      <c r="F65" s="285">
        <f>(21429053)-188025</f>
        <v>21241028</v>
      </c>
      <c r="G65" s="285">
        <v>14638680</v>
      </c>
      <c r="H65" s="285">
        <v>215955</v>
      </c>
      <c r="I65" s="285"/>
      <c r="J65" s="342">
        <f t="shared" si="32"/>
        <v>190000</v>
      </c>
      <c r="K65" s="285"/>
      <c r="L65" s="285">
        <v>190000</v>
      </c>
      <c r="M65" s="285">
        <v>125000</v>
      </c>
      <c r="N65" s="285">
        <f>1900+1000</f>
        <v>2900</v>
      </c>
      <c r="O65" s="303">
        <f t="shared" si="35"/>
        <v>0</v>
      </c>
      <c r="P65" s="342">
        <f t="shared" si="33"/>
        <v>21431028</v>
      </c>
      <c r="R65" s="202"/>
    </row>
    <row r="66" spans="1:18" s="162" customFormat="1" ht="138.75" thickTop="1" thickBot="1" x14ac:dyDescent="0.25">
      <c r="A66" s="343" t="s">
        <v>321</v>
      </c>
      <c r="B66" s="343" t="s">
        <v>319</v>
      </c>
      <c r="C66" s="343" t="s">
        <v>247</v>
      </c>
      <c r="D66" s="343" t="s">
        <v>609</v>
      </c>
      <c r="E66" s="342">
        <f t="shared" si="36"/>
        <v>5973260</v>
      </c>
      <c r="F66" s="285">
        <f>(5993260)-20000</f>
        <v>5973260</v>
      </c>
      <c r="G66" s="285">
        <v>4221500</v>
      </c>
      <c r="H66" s="285">
        <f>(293030)-50000</f>
        <v>243030</v>
      </c>
      <c r="I66" s="285"/>
      <c r="J66" s="342">
        <f t="shared" si="32"/>
        <v>84800</v>
      </c>
      <c r="K66" s="285">
        <f>(15000)+69800</f>
        <v>84800</v>
      </c>
      <c r="L66" s="285"/>
      <c r="M66" s="285"/>
      <c r="N66" s="285"/>
      <c r="O66" s="303">
        <f t="shared" si="35"/>
        <v>84800</v>
      </c>
      <c r="P66" s="342">
        <f t="shared" si="33"/>
        <v>6058060</v>
      </c>
      <c r="R66" s="168" t="b">
        <f>K66='d5'!J80</f>
        <v>1</v>
      </c>
    </row>
    <row r="67" spans="1:18" s="162" customFormat="1" ht="367.5" thickTop="1" thickBot="1" x14ac:dyDescent="0.25">
      <c r="A67" s="343" t="s">
        <v>316</v>
      </c>
      <c r="B67" s="343" t="s">
        <v>317</v>
      </c>
      <c r="C67" s="343" t="s">
        <v>247</v>
      </c>
      <c r="D67" s="343" t="s">
        <v>607</v>
      </c>
      <c r="E67" s="342">
        <f t="shared" si="36"/>
        <v>2719650</v>
      </c>
      <c r="F67" s="285">
        <v>2719650</v>
      </c>
      <c r="G67" s="285"/>
      <c r="H67" s="285"/>
      <c r="I67" s="285"/>
      <c r="J67" s="342">
        <f t="shared" si="32"/>
        <v>0</v>
      </c>
      <c r="K67" s="342"/>
      <c r="L67" s="285"/>
      <c r="M67" s="285"/>
      <c r="N67" s="285"/>
      <c r="O67" s="303">
        <f t="shared" si="35"/>
        <v>0</v>
      </c>
      <c r="P67" s="342">
        <f>+J67+E67</f>
        <v>2719650</v>
      </c>
      <c r="R67" s="168"/>
    </row>
    <row r="68" spans="1:18" s="162" customFormat="1" ht="230.25" thickTop="1" thickBot="1" x14ac:dyDescent="0.25">
      <c r="A68" s="343" t="s">
        <v>688</v>
      </c>
      <c r="B68" s="343" t="s">
        <v>689</v>
      </c>
      <c r="C68" s="343" t="s">
        <v>247</v>
      </c>
      <c r="D68" s="343" t="s">
        <v>690</v>
      </c>
      <c r="E68" s="342">
        <f t="shared" si="36"/>
        <v>164029</v>
      </c>
      <c r="F68" s="285">
        <f>162829+1200</f>
        <v>164029</v>
      </c>
      <c r="G68" s="285"/>
      <c r="H68" s="285"/>
      <c r="I68" s="285"/>
      <c r="J68" s="342">
        <f t="shared" ref="J68" si="38">L68+O68</f>
        <v>0</v>
      </c>
      <c r="K68" s="342"/>
      <c r="L68" s="285"/>
      <c r="M68" s="285"/>
      <c r="N68" s="285"/>
      <c r="O68" s="303">
        <f t="shared" ref="O68" si="39">K68</f>
        <v>0</v>
      </c>
      <c r="P68" s="342">
        <f>+J68+E68</f>
        <v>164029</v>
      </c>
      <c r="R68" s="202"/>
    </row>
    <row r="69" spans="1:18" s="162" customFormat="1" ht="321.75" thickTop="1" thickBot="1" x14ac:dyDescent="0.25">
      <c r="A69" s="343" t="s">
        <v>425</v>
      </c>
      <c r="B69" s="343" t="s">
        <v>424</v>
      </c>
      <c r="C69" s="343" t="s">
        <v>62</v>
      </c>
      <c r="D69" s="343" t="s">
        <v>608</v>
      </c>
      <c r="E69" s="342">
        <f t="shared" ref="E69" si="40">F69</f>
        <v>2067840</v>
      </c>
      <c r="F69" s="285">
        <v>2067840</v>
      </c>
      <c r="G69" s="285"/>
      <c r="H69" s="285"/>
      <c r="I69" s="285"/>
      <c r="J69" s="342">
        <f t="shared" si="32"/>
        <v>0</v>
      </c>
      <c r="K69" s="342"/>
      <c r="L69" s="285"/>
      <c r="M69" s="285"/>
      <c r="N69" s="285"/>
      <c r="O69" s="303">
        <f t="shared" si="35"/>
        <v>0</v>
      </c>
      <c r="P69" s="342">
        <f>E69+J69</f>
        <v>2067840</v>
      </c>
      <c r="R69" s="168"/>
    </row>
    <row r="70" spans="1:18" s="162" customFormat="1" ht="230.25" thickTop="1" thickBot="1" x14ac:dyDescent="0.25">
      <c r="A70" s="343" t="s">
        <v>398</v>
      </c>
      <c r="B70" s="343" t="s">
        <v>399</v>
      </c>
      <c r="C70" s="343" t="s">
        <v>253</v>
      </c>
      <c r="D70" s="343" t="s">
        <v>426</v>
      </c>
      <c r="E70" s="342">
        <f t="shared" ref="E70:E73" si="41">F70</f>
        <v>500000</v>
      </c>
      <c r="F70" s="285">
        <v>500000</v>
      </c>
      <c r="G70" s="285"/>
      <c r="H70" s="285"/>
      <c r="I70" s="285"/>
      <c r="J70" s="342">
        <f t="shared" si="32"/>
        <v>0</v>
      </c>
      <c r="K70" s="285"/>
      <c r="L70" s="285"/>
      <c r="M70" s="285"/>
      <c r="N70" s="285"/>
      <c r="O70" s="303">
        <f t="shared" si="35"/>
        <v>0</v>
      </c>
      <c r="P70" s="342">
        <f>E70+J70</f>
        <v>500000</v>
      </c>
      <c r="R70" s="168"/>
    </row>
    <row r="71" spans="1:18" s="162" customFormat="1" ht="93" thickTop="1" thickBot="1" x14ac:dyDescent="0.25">
      <c r="A71" s="343" t="s">
        <v>540</v>
      </c>
      <c r="B71" s="343" t="s">
        <v>459</v>
      </c>
      <c r="C71" s="343" t="s">
        <v>460</v>
      </c>
      <c r="D71" s="343" t="s">
        <v>458</v>
      </c>
      <c r="E71" s="342">
        <f t="shared" ref="E71" si="42">F71</f>
        <v>350000</v>
      </c>
      <c r="F71" s="285">
        <v>350000</v>
      </c>
      <c r="G71" s="285">
        <v>288000</v>
      </c>
      <c r="H71" s="285"/>
      <c r="I71" s="285"/>
      <c r="J71" s="342">
        <f t="shared" si="32"/>
        <v>0</v>
      </c>
      <c r="K71" s="285"/>
      <c r="L71" s="285"/>
      <c r="M71" s="285"/>
      <c r="N71" s="285"/>
      <c r="O71" s="303">
        <f t="shared" si="35"/>
        <v>0</v>
      </c>
      <c r="P71" s="342">
        <f>E71+J71</f>
        <v>350000</v>
      </c>
      <c r="R71" s="168"/>
    </row>
    <row r="72" spans="1:18" s="162" customFormat="1" ht="184.5" thickTop="1" thickBot="1" x14ac:dyDescent="0.25">
      <c r="A72" s="343" t="s">
        <v>400</v>
      </c>
      <c r="B72" s="343" t="s">
        <v>402</v>
      </c>
      <c r="C72" s="343" t="s">
        <v>239</v>
      </c>
      <c r="D72" s="287" t="s">
        <v>404</v>
      </c>
      <c r="E72" s="342">
        <f t="shared" si="41"/>
        <v>6460958</v>
      </c>
      <c r="F72" s="285">
        <f>(6460958)</f>
        <v>6460958</v>
      </c>
      <c r="G72" s="288">
        <f>(2947388)</f>
        <v>2947388</v>
      </c>
      <c r="H72" s="288">
        <v>576931</v>
      </c>
      <c r="I72" s="285"/>
      <c r="J72" s="342">
        <f t="shared" ref="J72:J76" si="43">L72+O72</f>
        <v>3001199</v>
      </c>
      <c r="K72" s="285">
        <f>(983500)+1942699</f>
        <v>2926199</v>
      </c>
      <c r="L72" s="285">
        <v>75000</v>
      </c>
      <c r="M72" s="285"/>
      <c r="N72" s="285">
        <f>10000+30000+25000</f>
        <v>65000</v>
      </c>
      <c r="O72" s="303">
        <f t="shared" ref="O72:O76" si="44">K72</f>
        <v>2926199</v>
      </c>
      <c r="P72" s="342">
        <f t="shared" ref="P72:P76" si="45">E72+J72</f>
        <v>9462157</v>
      </c>
      <c r="R72" s="168" t="b">
        <f>K72='d5'!J81+'d5'!J82+'d5'!J83+'d5'!J84</f>
        <v>1</v>
      </c>
    </row>
    <row r="73" spans="1:18" s="162" customFormat="1" ht="138.75" thickTop="1" thickBot="1" x14ac:dyDescent="0.25">
      <c r="A73" s="343" t="s">
        <v>401</v>
      </c>
      <c r="B73" s="343" t="s">
        <v>403</v>
      </c>
      <c r="C73" s="343" t="s">
        <v>239</v>
      </c>
      <c r="D73" s="287" t="s">
        <v>405</v>
      </c>
      <c r="E73" s="342">
        <f t="shared" si="41"/>
        <v>33065500</v>
      </c>
      <c r="F73" s="285">
        <f>(31072500)+1993000</f>
        <v>33065500</v>
      </c>
      <c r="G73" s="285"/>
      <c r="H73" s="285"/>
      <c r="I73" s="285"/>
      <c r="J73" s="342">
        <f t="shared" si="43"/>
        <v>450000</v>
      </c>
      <c r="K73" s="285">
        <v>450000</v>
      </c>
      <c r="L73" s="285"/>
      <c r="M73" s="285"/>
      <c r="N73" s="285"/>
      <c r="O73" s="303">
        <f t="shared" si="44"/>
        <v>450000</v>
      </c>
      <c r="P73" s="342">
        <f t="shared" si="45"/>
        <v>33515500</v>
      </c>
      <c r="R73" s="168" t="b">
        <f>K73='d5'!J85+'d5'!J86</f>
        <v>1</v>
      </c>
    </row>
    <row r="74" spans="1:18" s="162" customFormat="1" ht="138.75" thickTop="1" thickBot="1" x14ac:dyDescent="0.25">
      <c r="A74" s="343" t="s">
        <v>450</v>
      </c>
      <c r="B74" s="343" t="s">
        <v>448</v>
      </c>
      <c r="C74" s="343" t="s">
        <v>416</v>
      </c>
      <c r="D74" s="287" t="s">
        <v>449</v>
      </c>
      <c r="E74" s="342">
        <f t="shared" ref="E74:E76" si="46">F74</f>
        <v>0</v>
      </c>
      <c r="F74" s="285"/>
      <c r="G74" s="285"/>
      <c r="H74" s="285"/>
      <c r="I74" s="285"/>
      <c r="J74" s="342">
        <f t="shared" si="43"/>
        <v>3000000</v>
      </c>
      <c r="K74" s="285">
        <v>3000000</v>
      </c>
      <c r="L74" s="285"/>
      <c r="M74" s="285"/>
      <c r="N74" s="285"/>
      <c r="O74" s="303">
        <f t="shared" si="44"/>
        <v>3000000</v>
      </c>
      <c r="P74" s="342">
        <f t="shared" si="45"/>
        <v>3000000</v>
      </c>
      <c r="R74" s="168" t="b">
        <f>K74='d5'!J87</f>
        <v>1</v>
      </c>
    </row>
    <row r="75" spans="1:18" s="162" customFormat="1" ht="99.75" thickTop="1" thickBot="1" x14ac:dyDescent="0.25">
      <c r="A75" s="343" t="s">
        <v>503</v>
      </c>
      <c r="B75" s="343" t="s">
        <v>504</v>
      </c>
      <c r="C75" s="343" t="s">
        <v>361</v>
      </c>
      <c r="D75" s="343" t="s">
        <v>651</v>
      </c>
      <c r="E75" s="342">
        <f t="shared" si="46"/>
        <v>0</v>
      </c>
      <c r="F75" s="285"/>
      <c r="G75" s="285"/>
      <c r="H75" s="285"/>
      <c r="I75" s="285"/>
      <c r="J75" s="342">
        <f t="shared" si="43"/>
        <v>4000000</v>
      </c>
      <c r="K75" s="285">
        <f>(2000000)+2000000</f>
        <v>4000000</v>
      </c>
      <c r="L75" s="285"/>
      <c r="M75" s="285"/>
      <c r="N75" s="285"/>
      <c r="O75" s="303">
        <f t="shared" si="44"/>
        <v>4000000</v>
      </c>
      <c r="P75" s="342">
        <f t="shared" si="45"/>
        <v>4000000</v>
      </c>
      <c r="R75" s="168" t="b">
        <f>K75='d5'!J88</f>
        <v>1</v>
      </c>
    </row>
    <row r="76" spans="1:18" s="162" customFormat="1" ht="379.5" customHeight="1" thickTop="1" thickBot="1" x14ac:dyDescent="0.7">
      <c r="A76" s="528" t="s">
        <v>530</v>
      </c>
      <c r="B76" s="528" t="s">
        <v>413</v>
      </c>
      <c r="C76" s="528" t="s">
        <v>212</v>
      </c>
      <c r="D76" s="290" t="s">
        <v>588</v>
      </c>
      <c r="E76" s="508">
        <f t="shared" si="46"/>
        <v>0</v>
      </c>
      <c r="F76" s="513"/>
      <c r="G76" s="513"/>
      <c r="H76" s="513"/>
      <c r="I76" s="513"/>
      <c r="J76" s="508">
        <f t="shared" si="43"/>
        <v>255000</v>
      </c>
      <c r="K76" s="513"/>
      <c r="L76" s="513">
        <f>(225000)+30000</f>
        <v>255000</v>
      </c>
      <c r="M76" s="513"/>
      <c r="N76" s="513"/>
      <c r="O76" s="526">
        <f t="shared" si="44"/>
        <v>0</v>
      </c>
      <c r="P76" s="524">
        <f t="shared" si="45"/>
        <v>255000</v>
      </c>
      <c r="Q76" s="169">
        <f>P76</f>
        <v>255000</v>
      </c>
      <c r="R76" s="168"/>
    </row>
    <row r="77" spans="1:18" s="162" customFormat="1" ht="184.5" thickTop="1" thickBot="1" x14ac:dyDescent="0.25">
      <c r="A77" s="509"/>
      <c r="B77" s="509"/>
      <c r="C77" s="509"/>
      <c r="D77" s="292" t="s">
        <v>589</v>
      </c>
      <c r="E77" s="509"/>
      <c r="F77" s="514"/>
      <c r="G77" s="514"/>
      <c r="H77" s="514"/>
      <c r="I77" s="514"/>
      <c r="J77" s="509"/>
      <c r="K77" s="509"/>
      <c r="L77" s="514"/>
      <c r="M77" s="514"/>
      <c r="N77" s="514"/>
      <c r="O77" s="527"/>
      <c r="P77" s="525"/>
      <c r="R77" s="168"/>
    </row>
    <row r="78" spans="1:18" s="162" customFormat="1" ht="136.5" thickTop="1" thickBot="1" x14ac:dyDescent="0.25">
      <c r="A78" s="413">
        <v>1000000</v>
      </c>
      <c r="B78" s="413"/>
      <c r="C78" s="413"/>
      <c r="D78" s="414" t="s">
        <v>29</v>
      </c>
      <c r="E78" s="415">
        <f>E79</f>
        <v>92632100</v>
      </c>
      <c r="F78" s="416">
        <f t="shared" ref="F78" si="47">F79</f>
        <v>92632100</v>
      </c>
      <c r="G78" s="416">
        <f t="shared" ref="G78" si="48">G79</f>
        <v>66298565</v>
      </c>
      <c r="H78" s="416">
        <f>H79</f>
        <v>3297058</v>
      </c>
      <c r="I78" s="415">
        <f t="shared" ref="I78" si="49">I79</f>
        <v>0</v>
      </c>
      <c r="J78" s="415">
        <f>J79</f>
        <v>14684559</v>
      </c>
      <c r="K78" s="416">
        <f>K79</f>
        <v>6123889</v>
      </c>
      <c r="L78" s="416">
        <f>L79</f>
        <v>8481190</v>
      </c>
      <c r="M78" s="416">
        <f t="shared" ref="M78" si="50">M79</f>
        <v>6176480</v>
      </c>
      <c r="N78" s="415">
        <f>N79</f>
        <v>232900</v>
      </c>
      <c r="O78" s="415">
        <f>O79</f>
        <v>6203369</v>
      </c>
      <c r="P78" s="416">
        <f t="shared" ref="P78" si="51">P79</f>
        <v>107316659</v>
      </c>
    </row>
    <row r="79" spans="1:18" s="162" customFormat="1" ht="136.5" thickTop="1" thickBot="1" x14ac:dyDescent="0.25">
      <c r="A79" s="417">
        <v>1010000</v>
      </c>
      <c r="B79" s="417"/>
      <c r="C79" s="417"/>
      <c r="D79" s="418" t="s">
        <v>48</v>
      </c>
      <c r="E79" s="419">
        <f>F79</f>
        <v>92632100</v>
      </c>
      <c r="F79" s="419">
        <f>SUM(F80:F86)</f>
        <v>92632100</v>
      </c>
      <c r="G79" s="419">
        <f>SUM(G80:G86)</f>
        <v>66298565</v>
      </c>
      <c r="H79" s="419">
        <f>SUM(H80:H86)</f>
        <v>3297058</v>
      </c>
      <c r="I79" s="419">
        <f>SUM(I80:I86)</f>
        <v>0</v>
      </c>
      <c r="J79" s="419">
        <f t="shared" ref="J79:J86" si="52">L79+O79</f>
        <v>14684559</v>
      </c>
      <c r="K79" s="419">
        <f>SUM(K80:K86)</f>
        <v>6123889</v>
      </c>
      <c r="L79" s="419">
        <f>SUM(L80:L86)</f>
        <v>8481190</v>
      </c>
      <c r="M79" s="419">
        <f>SUM(M80:M86)</f>
        <v>6176480</v>
      </c>
      <c r="N79" s="419">
        <f>SUM(N80:N86)</f>
        <v>232900</v>
      </c>
      <c r="O79" s="419">
        <f>SUM(O80:O86)</f>
        <v>6203369</v>
      </c>
      <c r="P79" s="420">
        <f t="shared" ref="P79:P86" si="53">E79+J79</f>
        <v>107316659</v>
      </c>
      <c r="Q79" s="167" t="b">
        <f>P79=P80+P81+P82+P83+P84+P85+P86</f>
        <v>1</v>
      </c>
      <c r="R79" s="168" t="b">
        <f>K79='d5'!J90</f>
        <v>1</v>
      </c>
    </row>
    <row r="80" spans="1:18" s="162" customFormat="1" ht="93" thickTop="1" thickBot="1" x14ac:dyDescent="0.25">
      <c r="A80" s="343" t="s">
        <v>20</v>
      </c>
      <c r="B80" s="343" t="s">
        <v>227</v>
      </c>
      <c r="C80" s="343" t="s">
        <v>228</v>
      </c>
      <c r="D80" s="343" t="s">
        <v>718</v>
      </c>
      <c r="E80" s="342">
        <f>F80</f>
        <v>55158617</v>
      </c>
      <c r="F80" s="285">
        <f>(54788397)+204255+44940+99200+21825</f>
        <v>55158617</v>
      </c>
      <c r="G80" s="285">
        <f>(42628325)+204255+99200</f>
        <v>42931780</v>
      </c>
      <c r="H80" s="285">
        <f>1708200+22120+221280+84400+25450</f>
        <v>2061450</v>
      </c>
      <c r="I80" s="285"/>
      <c r="J80" s="342">
        <f t="shared" si="52"/>
        <v>8639570</v>
      </c>
      <c r="K80" s="285">
        <f>80000+700000</f>
        <v>780000</v>
      </c>
      <c r="L80" s="285">
        <v>7828170</v>
      </c>
      <c r="M80" s="285">
        <v>5894480</v>
      </c>
      <c r="N80" s="285">
        <v>170200</v>
      </c>
      <c r="O80" s="303">
        <f>K80+31400</f>
        <v>811400</v>
      </c>
      <c r="P80" s="342">
        <f t="shared" si="53"/>
        <v>63798187</v>
      </c>
      <c r="R80" s="202" t="b">
        <f>K80='d5'!J93+'d5'!J94</f>
        <v>1</v>
      </c>
    </row>
    <row r="81" spans="1:18" s="162" customFormat="1" ht="48" thickTop="1" thickBot="1" x14ac:dyDescent="0.25">
      <c r="A81" s="343" t="s">
        <v>213</v>
      </c>
      <c r="B81" s="343" t="s">
        <v>214</v>
      </c>
      <c r="C81" s="343" t="s">
        <v>216</v>
      </c>
      <c r="D81" s="343" t="s">
        <v>217</v>
      </c>
      <c r="E81" s="342">
        <f t="shared" ref="E81:E84" si="54">F81</f>
        <v>796400</v>
      </c>
      <c r="F81" s="285">
        <f>(796400)</f>
        <v>796400</v>
      </c>
      <c r="G81" s="285"/>
      <c r="H81" s="285"/>
      <c r="I81" s="285"/>
      <c r="J81" s="342">
        <f t="shared" si="52"/>
        <v>0</v>
      </c>
      <c r="K81" s="285"/>
      <c r="L81" s="285"/>
      <c r="M81" s="285"/>
      <c r="N81" s="285"/>
      <c r="O81" s="303">
        <f t="shared" ref="O81:O86" si="55">K81</f>
        <v>0</v>
      </c>
      <c r="P81" s="342">
        <f t="shared" si="53"/>
        <v>796400</v>
      </c>
      <c r="R81" s="168"/>
    </row>
    <row r="82" spans="1:18" s="162" customFormat="1" ht="48" thickTop="1" thickBot="1" x14ac:dyDescent="0.25">
      <c r="A82" s="343" t="s">
        <v>218</v>
      </c>
      <c r="B82" s="343" t="s">
        <v>219</v>
      </c>
      <c r="C82" s="343" t="s">
        <v>220</v>
      </c>
      <c r="D82" s="343" t="s">
        <v>221</v>
      </c>
      <c r="E82" s="342">
        <f t="shared" si="54"/>
        <v>8505945</v>
      </c>
      <c r="F82" s="285">
        <f>(8469945)+36000</f>
        <v>8505945</v>
      </c>
      <c r="G82" s="285">
        <v>6369770</v>
      </c>
      <c r="H82" s="285">
        <f>353700+6305+65870+12100+18000</f>
        <v>455975</v>
      </c>
      <c r="I82" s="285"/>
      <c r="J82" s="342">
        <f t="shared" si="52"/>
        <v>204000</v>
      </c>
      <c r="K82" s="285">
        <v>114000</v>
      </c>
      <c r="L82" s="285">
        <v>90000</v>
      </c>
      <c r="M82" s="285">
        <v>12200</v>
      </c>
      <c r="N82" s="285">
        <v>19000</v>
      </c>
      <c r="O82" s="303">
        <f t="shared" si="55"/>
        <v>114000</v>
      </c>
      <c r="P82" s="342">
        <f t="shared" si="53"/>
        <v>8709945</v>
      </c>
      <c r="R82" s="202" t="b">
        <f>K82='d5'!J95</f>
        <v>1</v>
      </c>
    </row>
    <row r="83" spans="1:18" s="162" customFormat="1" ht="93" thickTop="1" thickBot="1" x14ac:dyDescent="0.25">
      <c r="A83" s="343" t="s">
        <v>222</v>
      </c>
      <c r="B83" s="343" t="s">
        <v>223</v>
      </c>
      <c r="C83" s="343" t="s">
        <v>220</v>
      </c>
      <c r="D83" s="343" t="s">
        <v>633</v>
      </c>
      <c r="E83" s="342">
        <f t="shared" si="54"/>
        <v>1633478</v>
      </c>
      <c r="F83" s="285">
        <f>(1483478)+150000</f>
        <v>1633478</v>
      </c>
      <c r="G83" s="285">
        <f>(901100)</f>
        <v>901100</v>
      </c>
      <c r="H83" s="285">
        <f>148500+3168+49110+2500</f>
        <v>203278</v>
      </c>
      <c r="I83" s="285"/>
      <c r="J83" s="342">
        <f t="shared" si="52"/>
        <v>5156000</v>
      </c>
      <c r="K83" s="285">
        <f>(5000000)+80000</f>
        <v>5080000</v>
      </c>
      <c r="L83" s="285">
        <v>76000</v>
      </c>
      <c r="M83" s="285">
        <v>9400</v>
      </c>
      <c r="N83" s="285">
        <v>4000</v>
      </c>
      <c r="O83" s="303">
        <f t="shared" si="55"/>
        <v>5080000</v>
      </c>
      <c r="P83" s="342">
        <f t="shared" si="53"/>
        <v>6789478</v>
      </c>
      <c r="R83" s="202" t="b">
        <f>K83='d5'!J96+'d5'!J97</f>
        <v>1</v>
      </c>
    </row>
    <row r="84" spans="1:18" s="162" customFormat="1" ht="184.5" thickTop="1" thickBot="1" x14ac:dyDescent="0.25">
      <c r="A84" s="343" t="s">
        <v>224</v>
      </c>
      <c r="B84" s="343" t="s">
        <v>215</v>
      </c>
      <c r="C84" s="343" t="s">
        <v>225</v>
      </c>
      <c r="D84" s="343" t="s">
        <v>226</v>
      </c>
      <c r="E84" s="342">
        <f t="shared" si="54"/>
        <v>6389600</v>
      </c>
      <c r="F84" s="285">
        <v>6389600</v>
      </c>
      <c r="G84" s="285">
        <v>4545315</v>
      </c>
      <c r="H84" s="285">
        <f>406340+8325+83610+35600+8000</f>
        <v>541875</v>
      </c>
      <c r="I84" s="285"/>
      <c r="J84" s="342">
        <f t="shared" si="52"/>
        <v>536989</v>
      </c>
      <c r="K84" s="285">
        <v>149889</v>
      </c>
      <c r="L84" s="285">
        <v>374020</v>
      </c>
      <c r="M84" s="285">
        <v>254600</v>
      </c>
      <c r="N84" s="285">
        <v>39700</v>
      </c>
      <c r="O84" s="303">
        <f>K84+13080</f>
        <v>162969</v>
      </c>
      <c r="P84" s="342">
        <f t="shared" si="53"/>
        <v>6926589</v>
      </c>
      <c r="R84" s="202" t="b">
        <f>K84='d5'!J98</f>
        <v>1</v>
      </c>
    </row>
    <row r="85" spans="1:18" s="162" customFormat="1" ht="138.75" thickTop="1" thickBot="1" x14ac:dyDescent="0.25">
      <c r="A85" s="343" t="s">
        <v>406</v>
      </c>
      <c r="B85" s="343" t="s">
        <v>407</v>
      </c>
      <c r="C85" s="343" t="s">
        <v>229</v>
      </c>
      <c r="D85" s="343" t="s">
        <v>634</v>
      </c>
      <c r="E85" s="342">
        <f>F85</f>
        <v>14990960</v>
      </c>
      <c r="F85" s="285">
        <v>14990960</v>
      </c>
      <c r="G85" s="285">
        <v>11550600</v>
      </c>
      <c r="H85" s="285">
        <f>31230+2900+350</f>
        <v>34480</v>
      </c>
      <c r="I85" s="285"/>
      <c r="J85" s="342">
        <f t="shared" si="52"/>
        <v>148000</v>
      </c>
      <c r="K85" s="285"/>
      <c r="L85" s="285">
        <v>113000</v>
      </c>
      <c r="M85" s="285">
        <v>5800</v>
      </c>
      <c r="N85" s="285"/>
      <c r="O85" s="303">
        <f>K85+35000</f>
        <v>35000</v>
      </c>
      <c r="P85" s="342">
        <f t="shared" si="53"/>
        <v>15138960</v>
      </c>
      <c r="R85" s="168"/>
    </row>
    <row r="86" spans="1:18" s="162" customFormat="1" ht="93" thickTop="1" thickBot="1" x14ac:dyDescent="0.25">
      <c r="A86" s="343" t="s">
        <v>408</v>
      </c>
      <c r="B86" s="343" t="s">
        <v>409</v>
      </c>
      <c r="C86" s="343" t="s">
        <v>229</v>
      </c>
      <c r="D86" s="343" t="s">
        <v>635</v>
      </c>
      <c r="E86" s="342">
        <f>F86</f>
        <v>5157100</v>
      </c>
      <c r="F86" s="285">
        <f>(8238100)-3081000</f>
        <v>5157100</v>
      </c>
      <c r="G86" s="285"/>
      <c r="H86" s="285"/>
      <c r="I86" s="285"/>
      <c r="J86" s="342">
        <f t="shared" si="52"/>
        <v>0</v>
      </c>
      <c r="K86" s="285"/>
      <c r="L86" s="285"/>
      <c r="M86" s="285"/>
      <c r="N86" s="285"/>
      <c r="O86" s="303">
        <f t="shared" si="55"/>
        <v>0</v>
      </c>
      <c r="P86" s="342">
        <f t="shared" si="53"/>
        <v>5157100</v>
      </c>
      <c r="R86" s="168"/>
    </row>
    <row r="87" spans="1:18" s="162" customFormat="1" ht="136.5" thickTop="1" thickBot="1" x14ac:dyDescent="0.25">
      <c r="A87" s="413" t="s">
        <v>26</v>
      </c>
      <c r="B87" s="413"/>
      <c r="C87" s="413"/>
      <c r="D87" s="414" t="s">
        <v>27</v>
      </c>
      <c r="E87" s="415">
        <f>E88</f>
        <v>57610876</v>
      </c>
      <c r="F87" s="416">
        <f t="shared" ref="F87" si="56">F88</f>
        <v>57610876</v>
      </c>
      <c r="G87" s="416">
        <f t="shared" ref="G87" si="57">G88</f>
        <v>23096030</v>
      </c>
      <c r="H87" s="416">
        <f>H88</f>
        <v>1510283</v>
      </c>
      <c r="I87" s="415">
        <f t="shared" ref="I87" si="58">I88</f>
        <v>0</v>
      </c>
      <c r="J87" s="415">
        <f>J88</f>
        <v>6838576</v>
      </c>
      <c r="K87" s="416">
        <f>K88</f>
        <v>4742772</v>
      </c>
      <c r="L87" s="416">
        <f>L88</f>
        <v>2088304</v>
      </c>
      <c r="M87" s="416">
        <f t="shared" ref="M87" si="59">M88</f>
        <v>957332</v>
      </c>
      <c r="N87" s="415">
        <f>N88</f>
        <v>336562</v>
      </c>
      <c r="O87" s="415">
        <f>O88</f>
        <v>4750272</v>
      </c>
      <c r="P87" s="416">
        <f t="shared" ref="P87" si="60">P88</f>
        <v>64449452</v>
      </c>
    </row>
    <row r="88" spans="1:18" s="162" customFormat="1" ht="136.5" thickTop="1" thickBot="1" x14ac:dyDescent="0.25">
      <c r="A88" s="417" t="s">
        <v>25</v>
      </c>
      <c r="B88" s="417"/>
      <c r="C88" s="417"/>
      <c r="D88" s="418" t="s">
        <v>44</v>
      </c>
      <c r="E88" s="419">
        <f>SUM(E89:E101)</f>
        <v>57610876</v>
      </c>
      <c r="F88" s="419">
        <f>SUM(F89:F101)</f>
        <v>57610876</v>
      </c>
      <c r="G88" s="419">
        <f>SUM(G89:G101)</f>
        <v>23096030</v>
      </c>
      <c r="H88" s="419">
        <f>SUM(H89:H101)</f>
        <v>1510283</v>
      </c>
      <c r="I88" s="419">
        <f>SUM(I89:I101)</f>
        <v>0</v>
      </c>
      <c r="J88" s="419">
        <f>L88+O88</f>
        <v>6838576</v>
      </c>
      <c r="K88" s="419">
        <f>SUM(K89:K101)</f>
        <v>4742772</v>
      </c>
      <c r="L88" s="419">
        <f>SUM(L89:L101)</f>
        <v>2088304</v>
      </c>
      <c r="M88" s="419">
        <f>SUM(M89:M101)</f>
        <v>957332</v>
      </c>
      <c r="N88" s="419">
        <f>SUM(N89:N101)</f>
        <v>336562</v>
      </c>
      <c r="O88" s="419">
        <f>SUM(O89:O101)</f>
        <v>4750272</v>
      </c>
      <c r="P88" s="420">
        <f>E88+J88</f>
        <v>64449452</v>
      </c>
      <c r="Q88" s="167" t="b">
        <f>P88=P89+P90+P91+P92+P93+P94+P95+P96+P97+P99+P101+P100+P98</f>
        <v>1</v>
      </c>
      <c r="R88" s="168" t="b">
        <f>K88='d5'!J100</f>
        <v>1</v>
      </c>
    </row>
    <row r="89" spans="1:18" s="162" customFormat="1" ht="138.75" thickTop="1" thickBot="1" x14ac:dyDescent="0.25">
      <c r="A89" s="343" t="s">
        <v>230</v>
      </c>
      <c r="B89" s="343" t="s">
        <v>231</v>
      </c>
      <c r="C89" s="343" t="s">
        <v>232</v>
      </c>
      <c r="D89" s="343" t="s">
        <v>233</v>
      </c>
      <c r="E89" s="355">
        <f t="shared" ref="E89:E91" si="61">F89</f>
        <v>4377637</v>
      </c>
      <c r="F89" s="288">
        <f>(4377637)</f>
        <v>4377637</v>
      </c>
      <c r="G89" s="288">
        <f>(3404700)</f>
        <v>3404700</v>
      </c>
      <c r="H89" s="288">
        <f>40653+2690+26810+2400</f>
        <v>72553</v>
      </c>
      <c r="I89" s="288"/>
      <c r="J89" s="342">
        <f t="shared" ref="J89:J101" si="62">L89+O89</f>
        <v>55000</v>
      </c>
      <c r="K89" s="288">
        <v>55000</v>
      </c>
      <c r="L89" s="356"/>
      <c r="M89" s="356"/>
      <c r="N89" s="356"/>
      <c r="O89" s="303">
        <f t="shared" ref="O89:O101" si="63">K89</f>
        <v>55000</v>
      </c>
      <c r="P89" s="342">
        <f>+J89+E89</f>
        <v>4432637</v>
      </c>
      <c r="Q89" s="168"/>
      <c r="R89" s="202" t="b">
        <f>K89='d5'!J102</f>
        <v>1</v>
      </c>
    </row>
    <row r="90" spans="1:18" s="162" customFormat="1" ht="93" thickTop="1" thickBot="1" x14ac:dyDescent="0.25">
      <c r="A90" s="343" t="s">
        <v>237</v>
      </c>
      <c r="B90" s="343" t="s">
        <v>238</v>
      </c>
      <c r="C90" s="343" t="s">
        <v>232</v>
      </c>
      <c r="D90" s="343" t="s">
        <v>12</v>
      </c>
      <c r="E90" s="355">
        <f t="shared" si="61"/>
        <v>3687024</v>
      </c>
      <c r="F90" s="288">
        <f>(3722024)-35000</f>
        <v>3687024</v>
      </c>
      <c r="G90" s="288">
        <v>2215100</v>
      </c>
      <c r="H90" s="288">
        <f>309408+3330+71000+2300</f>
        <v>386038</v>
      </c>
      <c r="I90" s="288"/>
      <c r="J90" s="342">
        <f t="shared" si="62"/>
        <v>475000</v>
      </c>
      <c r="K90" s="288">
        <v>150000</v>
      </c>
      <c r="L90" s="356">
        <v>325000</v>
      </c>
      <c r="M90" s="356">
        <v>165000</v>
      </c>
      <c r="N90" s="356">
        <v>88400</v>
      </c>
      <c r="O90" s="303">
        <f t="shared" si="63"/>
        <v>150000</v>
      </c>
      <c r="P90" s="342">
        <f t="shared" ref="P90:P101" si="64">E90+J90</f>
        <v>4162024</v>
      </c>
      <c r="R90" s="202" t="b">
        <f>K90='d5'!J103</f>
        <v>1</v>
      </c>
    </row>
    <row r="91" spans="1:18" s="162" customFormat="1" ht="93" thickTop="1" thickBot="1" x14ac:dyDescent="0.25">
      <c r="A91" s="343" t="s">
        <v>430</v>
      </c>
      <c r="B91" s="343" t="s">
        <v>431</v>
      </c>
      <c r="C91" s="343" t="s">
        <v>232</v>
      </c>
      <c r="D91" s="343" t="s">
        <v>432</v>
      </c>
      <c r="E91" s="355">
        <f t="shared" si="61"/>
        <v>5979882</v>
      </c>
      <c r="F91" s="288">
        <f>(1299340+1103463+3968450)+108629-500000</f>
        <v>5979882</v>
      </c>
      <c r="G91" s="288">
        <f>(817400)</f>
        <v>817400</v>
      </c>
      <c r="H91" s="288">
        <f>30000+1550+21860</f>
        <v>53410</v>
      </c>
      <c r="I91" s="288"/>
      <c r="J91" s="342">
        <f t="shared" si="62"/>
        <v>70107</v>
      </c>
      <c r="K91" s="288">
        <f>(60000)+10107</f>
        <v>70107</v>
      </c>
      <c r="L91" s="356"/>
      <c r="M91" s="356"/>
      <c r="N91" s="356"/>
      <c r="O91" s="303">
        <f t="shared" si="63"/>
        <v>70107</v>
      </c>
      <c r="P91" s="342">
        <f t="shared" si="64"/>
        <v>6049989</v>
      </c>
      <c r="R91" s="168" t="b">
        <f>K91='d5'!J104+'d5'!J105</f>
        <v>1</v>
      </c>
    </row>
    <row r="92" spans="1:18" s="162" customFormat="1" ht="138.75" thickTop="1" thickBot="1" x14ac:dyDescent="0.25">
      <c r="A92" s="343" t="s">
        <v>56</v>
      </c>
      <c r="B92" s="343" t="s">
        <v>234</v>
      </c>
      <c r="C92" s="343" t="s">
        <v>243</v>
      </c>
      <c r="D92" s="343" t="s">
        <v>57</v>
      </c>
      <c r="E92" s="355">
        <f t="shared" ref="E92:E98" si="65">F92</f>
        <v>10000000</v>
      </c>
      <c r="F92" s="288">
        <f>(14000000)-4000000</f>
        <v>10000000</v>
      </c>
      <c r="G92" s="285"/>
      <c r="H92" s="285"/>
      <c r="I92" s="285"/>
      <c r="J92" s="342">
        <f t="shared" si="62"/>
        <v>0</v>
      </c>
      <c r="K92" s="285"/>
      <c r="L92" s="285"/>
      <c r="M92" s="285"/>
      <c r="N92" s="285"/>
      <c r="O92" s="303">
        <f t="shared" si="63"/>
        <v>0</v>
      </c>
      <c r="P92" s="342">
        <f t="shared" si="64"/>
        <v>10000000</v>
      </c>
      <c r="R92" s="168"/>
    </row>
    <row r="93" spans="1:18" s="162" customFormat="1" ht="138.75" thickTop="1" thickBot="1" x14ac:dyDescent="0.25">
      <c r="A93" s="343" t="s">
        <v>58</v>
      </c>
      <c r="B93" s="343" t="s">
        <v>235</v>
      </c>
      <c r="C93" s="343" t="s">
        <v>243</v>
      </c>
      <c r="D93" s="343" t="s">
        <v>5</v>
      </c>
      <c r="E93" s="355">
        <f t="shared" si="65"/>
        <v>1779668</v>
      </c>
      <c r="F93" s="288">
        <f>(2015668)-236000</f>
        <v>1779668</v>
      </c>
      <c r="G93" s="285"/>
      <c r="H93" s="285"/>
      <c r="I93" s="285"/>
      <c r="J93" s="342">
        <f t="shared" si="62"/>
        <v>0</v>
      </c>
      <c r="K93" s="285"/>
      <c r="L93" s="285"/>
      <c r="M93" s="285"/>
      <c r="N93" s="285"/>
      <c r="O93" s="303">
        <f t="shared" si="63"/>
        <v>0</v>
      </c>
      <c r="P93" s="342">
        <f t="shared" si="64"/>
        <v>1779668</v>
      </c>
      <c r="R93" s="168"/>
    </row>
    <row r="94" spans="1:18" s="162" customFormat="1" ht="184.5" thickTop="1" thickBot="1" x14ac:dyDescent="0.25">
      <c r="A94" s="343" t="s">
        <v>59</v>
      </c>
      <c r="B94" s="343" t="s">
        <v>236</v>
      </c>
      <c r="C94" s="343" t="s">
        <v>243</v>
      </c>
      <c r="D94" s="343" t="s">
        <v>427</v>
      </c>
      <c r="E94" s="355">
        <f>F94</f>
        <v>56195</v>
      </c>
      <c r="F94" s="288">
        <v>56195</v>
      </c>
      <c r="G94" s="288"/>
      <c r="H94" s="288"/>
      <c r="I94" s="285"/>
      <c r="J94" s="342">
        <f t="shared" si="62"/>
        <v>0</v>
      </c>
      <c r="K94" s="285"/>
      <c r="L94" s="288"/>
      <c r="M94" s="288"/>
      <c r="N94" s="288"/>
      <c r="O94" s="303">
        <f t="shared" si="63"/>
        <v>0</v>
      </c>
      <c r="P94" s="342">
        <f t="shared" si="64"/>
        <v>56195</v>
      </c>
      <c r="R94" s="168"/>
    </row>
    <row r="95" spans="1:18" s="162" customFormat="1" ht="184.5" thickTop="1" thickBot="1" x14ac:dyDescent="0.25">
      <c r="A95" s="343" t="s">
        <v>35</v>
      </c>
      <c r="B95" s="343" t="s">
        <v>240</v>
      </c>
      <c r="C95" s="343" t="s">
        <v>243</v>
      </c>
      <c r="D95" s="343" t="s">
        <v>60</v>
      </c>
      <c r="E95" s="355">
        <f t="shared" si="65"/>
        <v>22676622</v>
      </c>
      <c r="F95" s="288">
        <f>(22943822)+55800-243100-19900-10000-50000</f>
        <v>22676622</v>
      </c>
      <c r="G95" s="288">
        <f>(15609500)</f>
        <v>15609500</v>
      </c>
      <c r="H95" s="288">
        <f>(464245+81769+327290+155710+4268)-10000-25000</f>
        <v>998282</v>
      </c>
      <c r="I95" s="288"/>
      <c r="J95" s="342">
        <f t="shared" si="62"/>
        <v>5569869</v>
      </c>
      <c r="K95" s="288">
        <f>(3819415)+74450+455200-550000</f>
        <v>3799065</v>
      </c>
      <c r="L95" s="288">
        <v>1763304</v>
      </c>
      <c r="M95" s="288">
        <v>792332</v>
      </c>
      <c r="N95" s="288">
        <v>248162</v>
      </c>
      <c r="O95" s="303">
        <f>K95+7500</f>
        <v>3806565</v>
      </c>
      <c r="P95" s="342">
        <f t="shared" si="64"/>
        <v>28246491</v>
      </c>
      <c r="R95" s="168" t="b">
        <f>K95='d5'!J109+'d5'!J108+'d5'!J107+'d5'!J106</f>
        <v>1</v>
      </c>
    </row>
    <row r="96" spans="1:18" s="162" customFormat="1" ht="184.5" thickTop="1" thickBot="1" x14ac:dyDescent="0.25">
      <c r="A96" s="343" t="s">
        <v>36</v>
      </c>
      <c r="B96" s="343" t="s">
        <v>241</v>
      </c>
      <c r="C96" s="343" t="s">
        <v>243</v>
      </c>
      <c r="D96" s="343" t="s">
        <v>61</v>
      </c>
      <c r="E96" s="355">
        <f t="shared" si="65"/>
        <v>6068200</v>
      </c>
      <c r="F96" s="288">
        <f>(6068200)</f>
        <v>6068200</v>
      </c>
      <c r="G96" s="288"/>
      <c r="H96" s="288"/>
      <c r="I96" s="288"/>
      <c r="J96" s="342">
        <f t="shared" si="62"/>
        <v>468600</v>
      </c>
      <c r="K96" s="288">
        <v>468600</v>
      </c>
      <c r="L96" s="288"/>
      <c r="M96" s="288"/>
      <c r="N96" s="288"/>
      <c r="O96" s="303">
        <f t="shared" si="63"/>
        <v>468600</v>
      </c>
      <c r="P96" s="342">
        <f t="shared" si="64"/>
        <v>6536800</v>
      </c>
      <c r="R96" s="202" t="b">
        <f>K96='d5'!J111+'d5'!J110</f>
        <v>1</v>
      </c>
    </row>
    <row r="97" spans="1:18" s="162" customFormat="1" ht="230.25" thickTop="1" thickBot="1" x14ac:dyDescent="0.25">
      <c r="A97" s="281" t="s">
        <v>37</v>
      </c>
      <c r="B97" s="281" t="s">
        <v>242</v>
      </c>
      <c r="C97" s="281" t="s">
        <v>243</v>
      </c>
      <c r="D97" s="343" t="s">
        <v>38</v>
      </c>
      <c r="E97" s="355">
        <f t="shared" si="65"/>
        <v>1443547</v>
      </c>
      <c r="F97" s="288">
        <f>(2027547)-584000</f>
        <v>1443547</v>
      </c>
      <c r="G97" s="285"/>
      <c r="H97" s="285"/>
      <c r="I97" s="285"/>
      <c r="J97" s="342">
        <f t="shared" si="62"/>
        <v>0</v>
      </c>
      <c r="K97" s="285"/>
      <c r="L97" s="285"/>
      <c r="M97" s="285"/>
      <c r="N97" s="285"/>
      <c r="O97" s="303">
        <f t="shared" si="63"/>
        <v>0</v>
      </c>
      <c r="P97" s="342">
        <f t="shared" si="64"/>
        <v>1443547</v>
      </c>
      <c r="R97" s="168"/>
    </row>
    <row r="98" spans="1:18" s="162" customFormat="1" ht="184.5" hidden="1" thickTop="1" thickBot="1" x14ac:dyDescent="0.25">
      <c r="A98" s="281" t="s">
        <v>732</v>
      </c>
      <c r="B98" s="281" t="s">
        <v>730</v>
      </c>
      <c r="C98" s="281" t="s">
        <v>243</v>
      </c>
      <c r="D98" s="343" t="s">
        <v>731</v>
      </c>
      <c r="E98" s="355">
        <f t="shared" si="65"/>
        <v>0</v>
      </c>
      <c r="F98" s="288"/>
      <c r="G98" s="285"/>
      <c r="H98" s="285"/>
      <c r="I98" s="285"/>
      <c r="J98" s="342">
        <f t="shared" si="62"/>
        <v>0</v>
      </c>
      <c r="K98" s="285"/>
      <c r="L98" s="285"/>
      <c r="M98" s="285"/>
      <c r="N98" s="285"/>
      <c r="O98" s="303">
        <f t="shared" ref="O98" si="66">K98</f>
        <v>0</v>
      </c>
      <c r="P98" s="342">
        <f t="shared" ref="P98" si="67">E98+J98</f>
        <v>0</v>
      </c>
      <c r="R98" s="202"/>
    </row>
    <row r="99" spans="1:18" s="162" customFormat="1" ht="93" thickTop="1" thickBot="1" x14ac:dyDescent="0.25">
      <c r="A99" s="281" t="s">
        <v>39</v>
      </c>
      <c r="B99" s="281" t="s">
        <v>244</v>
      </c>
      <c r="C99" s="281" t="s">
        <v>243</v>
      </c>
      <c r="D99" s="343" t="s">
        <v>40</v>
      </c>
      <c r="E99" s="355">
        <f>F99</f>
        <v>1522890</v>
      </c>
      <c r="F99" s="288">
        <v>1522890</v>
      </c>
      <c r="G99" s="285">
        <v>1049330</v>
      </c>
      <c r="H99" s="285"/>
      <c r="I99" s="285"/>
      <c r="J99" s="342">
        <f t="shared" si="62"/>
        <v>0</v>
      </c>
      <c r="K99" s="285"/>
      <c r="L99" s="285"/>
      <c r="M99" s="285"/>
      <c r="N99" s="285"/>
      <c r="O99" s="303">
        <f t="shared" si="63"/>
        <v>0</v>
      </c>
      <c r="P99" s="342">
        <f t="shared" si="64"/>
        <v>1522890</v>
      </c>
      <c r="R99" s="168"/>
    </row>
    <row r="100" spans="1:18" s="162" customFormat="1" ht="276" thickTop="1" thickBot="1" x14ac:dyDescent="0.25">
      <c r="A100" s="281" t="s">
        <v>418</v>
      </c>
      <c r="B100" s="281" t="s">
        <v>417</v>
      </c>
      <c r="C100" s="281" t="s">
        <v>416</v>
      </c>
      <c r="D100" s="343" t="s">
        <v>415</v>
      </c>
      <c r="E100" s="355">
        <f>F100</f>
        <v>19211</v>
      </c>
      <c r="F100" s="288">
        <f>(9036)+10175</f>
        <v>19211</v>
      </c>
      <c r="G100" s="285"/>
      <c r="H100" s="285"/>
      <c r="I100" s="285"/>
      <c r="J100" s="342">
        <f t="shared" ref="J100" si="68">L100+O100</f>
        <v>0</v>
      </c>
      <c r="K100" s="285"/>
      <c r="L100" s="285"/>
      <c r="M100" s="285"/>
      <c r="N100" s="285"/>
      <c r="O100" s="303">
        <f t="shared" ref="O100" si="69">K100</f>
        <v>0</v>
      </c>
      <c r="P100" s="342">
        <f t="shared" ref="P100" si="70">E100+J100</f>
        <v>19211</v>
      </c>
      <c r="R100" s="202"/>
    </row>
    <row r="101" spans="1:18" s="162" customFormat="1" ht="93" thickTop="1" thickBot="1" x14ac:dyDescent="0.25">
      <c r="A101" s="431" t="s">
        <v>466</v>
      </c>
      <c r="B101" s="431" t="s">
        <v>446</v>
      </c>
      <c r="C101" s="431" t="s">
        <v>55</v>
      </c>
      <c r="D101" s="431" t="s">
        <v>447</v>
      </c>
      <c r="E101" s="355">
        <f>F101</f>
        <v>0</v>
      </c>
      <c r="F101" s="288"/>
      <c r="G101" s="285"/>
      <c r="H101" s="285"/>
      <c r="I101" s="285"/>
      <c r="J101" s="428">
        <f t="shared" si="62"/>
        <v>200000</v>
      </c>
      <c r="K101" s="285">
        <v>200000</v>
      </c>
      <c r="L101" s="285"/>
      <c r="M101" s="285"/>
      <c r="N101" s="285"/>
      <c r="O101" s="430">
        <f t="shared" si="63"/>
        <v>200000</v>
      </c>
      <c r="P101" s="428">
        <f t="shared" si="64"/>
        <v>200000</v>
      </c>
      <c r="R101" s="202" t="b">
        <f>K101='d5'!J112</f>
        <v>1</v>
      </c>
    </row>
    <row r="102" spans="1:18" s="162" customFormat="1" ht="181.5" thickTop="1" thickBot="1" x14ac:dyDescent="0.25">
      <c r="A102" s="413" t="s">
        <v>200</v>
      </c>
      <c r="B102" s="413"/>
      <c r="C102" s="413"/>
      <c r="D102" s="414" t="s">
        <v>28</v>
      </c>
      <c r="E102" s="415">
        <f>E103</f>
        <v>265035095</v>
      </c>
      <c r="F102" s="416">
        <f t="shared" ref="F102" si="71">F103</f>
        <v>265035095</v>
      </c>
      <c r="G102" s="416">
        <f t="shared" ref="G102" si="72">G103</f>
        <v>9437284</v>
      </c>
      <c r="H102" s="416">
        <f>H103</f>
        <v>254669</v>
      </c>
      <c r="I102" s="415">
        <f t="shared" ref="I102" si="73">I103</f>
        <v>0</v>
      </c>
      <c r="J102" s="415">
        <f>J103</f>
        <v>143580147.29000002</v>
      </c>
      <c r="K102" s="416">
        <f>K103</f>
        <v>143354868.59</v>
      </c>
      <c r="L102" s="416">
        <f>L103</f>
        <v>205900</v>
      </c>
      <c r="M102" s="416">
        <f t="shared" ref="M102" si="74">M103</f>
        <v>0</v>
      </c>
      <c r="N102" s="415">
        <f>N103</f>
        <v>0</v>
      </c>
      <c r="O102" s="415">
        <f>O103</f>
        <v>143374247.29000002</v>
      </c>
      <c r="P102" s="416">
        <f>P103</f>
        <v>408615242.29000002</v>
      </c>
    </row>
    <row r="103" spans="1:18" s="162" customFormat="1" ht="181.5" thickTop="1" thickBot="1" x14ac:dyDescent="0.25">
      <c r="A103" s="417" t="s">
        <v>201</v>
      </c>
      <c r="B103" s="417"/>
      <c r="C103" s="417"/>
      <c r="D103" s="418" t="s">
        <v>49</v>
      </c>
      <c r="E103" s="419">
        <f>SUM(E104:E121)</f>
        <v>265035095</v>
      </c>
      <c r="F103" s="419">
        <f>SUM(F104:F121)</f>
        <v>265035095</v>
      </c>
      <c r="G103" s="419">
        <f>SUM(G104:G121)</f>
        <v>9437284</v>
      </c>
      <c r="H103" s="419">
        <f>SUM(H104:H121)</f>
        <v>254669</v>
      </c>
      <c r="I103" s="419">
        <f>SUM(I104:I121)</f>
        <v>0</v>
      </c>
      <c r="J103" s="419">
        <f t="shared" ref="J103:J118" si="75">L103+O103</f>
        <v>143580147.29000002</v>
      </c>
      <c r="K103" s="419">
        <f>SUM(K104:K121)</f>
        <v>143354868.59</v>
      </c>
      <c r="L103" s="419">
        <f>SUM(L104:L121)</f>
        <v>205900</v>
      </c>
      <c r="M103" s="419">
        <f>SUM(M104:M121)</f>
        <v>0</v>
      </c>
      <c r="N103" s="419">
        <f>SUM(N104:N121)</f>
        <v>0</v>
      </c>
      <c r="O103" s="419">
        <f>SUM(O104:O121)</f>
        <v>143374247.29000002</v>
      </c>
      <c r="P103" s="420">
        <f>E103+J103</f>
        <v>408615242.29000002</v>
      </c>
      <c r="Q103" s="167" t="b">
        <f>P103=P106+P108+P109+P110+P111+P112+P113+P115+P116+P117+P121+P107+P104+P118+P105+P114+P120</f>
        <v>1</v>
      </c>
      <c r="R103" s="168" t="b">
        <f>K103='d5'!J113</f>
        <v>1</v>
      </c>
    </row>
    <row r="104" spans="1:18" s="162" customFormat="1" ht="230.25" thickTop="1" thickBot="1" x14ac:dyDescent="0.25">
      <c r="A104" s="343" t="s">
        <v>525</v>
      </c>
      <c r="B104" s="343" t="s">
        <v>288</v>
      </c>
      <c r="C104" s="343" t="s">
        <v>286</v>
      </c>
      <c r="D104" s="343" t="s">
        <v>287</v>
      </c>
      <c r="E104" s="355">
        <f>F104</f>
        <v>11130780</v>
      </c>
      <c r="F104" s="288">
        <f>(11300780)-170000</f>
        <v>11130780</v>
      </c>
      <c r="G104" s="288">
        <f>(8433900)-140000</f>
        <v>8293900</v>
      </c>
      <c r="H104" s="288">
        <f>(99400+4200+54700+5300)+12000+3520+241</f>
        <v>179361</v>
      </c>
      <c r="I104" s="288"/>
      <c r="J104" s="342">
        <f t="shared" si="75"/>
        <v>17000</v>
      </c>
      <c r="K104" s="288">
        <v>17000</v>
      </c>
      <c r="L104" s="356"/>
      <c r="M104" s="356"/>
      <c r="N104" s="356"/>
      <c r="O104" s="303">
        <f t="shared" ref="O104:O117" si="76">K104</f>
        <v>17000</v>
      </c>
      <c r="P104" s="342">
        <f t="shared" ref="P104:P110" si="77">+J104+E104</f>
        <v>11147780</v>
      </c>
      <c r="Q104" s="167"/>
      <c r="R104" s="202" t="b">
        <f>K104='d5'!J115</f>
        <v>1</v>
      </c>
    </row>
    <row r="105" spans="1:18" s="162" customFormat="1" ht="93" thickTop="1" thickBot="1" x14ac:dyDescent="0.25">
      <c r="A105" s="343" t="s">
        <v>555</v>
      </c>
      <c r="B105" s="343" t="s">
        <v>55</v>
      </c>
      <c r="C105" s="343" t="s">
        <v>54</v>
      </c>
      <c r="D105" s="343" t="s">
        <v>300</v>
      </c>
      <c r="E105" s="355">
        <f>F105</f>
        <v>150000</v>
      </c>
      <c r="F105" s="288">
        <v>150000</v>
      </c>
      <c r="G105" s="288"/>
      <c r="H105" s="288"/>
      <c r="I105" s="288"/>
      <c r="J105" s="342">
        <f t="shared" ref="J105" si="78">L105+O105</f>
        <v>0</v>
      </c>
      <c r="K105" s="288"/>
      <c r="L105" s="356"/>
      <c r="M105" s="356"/>
      <c r="N105" s="356"/>
      <c r="O105" s="303">
        <f t="shared" ref="O105" si="79">K105</f>
        <v>0</v>
      </c>
      <c r="P105" s="342">
        <f t="shared" ref="P105" si="80">+J105+E105</f>
        <v>150000</v>
      </c>
      <c r="Q105" s="167"/>
      <c r="R105" s="168"/>
    </row>
    <row r="106" spans="1:18" s="162" customFormat="1" ht="93" thickTop="1" thickBot="1" x14ac:dyDescent="0.25">
      <c r="A106" s="343" t="s">
        <v>333</v>
      </c>
      <c r="B106" s="343" t="s">
        <v>334</v>
      </c>
      <c r="C106" s="343" t="s">
        <v>416</v>
      </c>
      <c r="D106" s="343" t="s">
        <v>335</v>
      </c>
      <c r="E106" s="355">
        <f t="shared" ref="E106:E121" si="81">F106</f>
        <v>1976700</v>
      </c>
      <c r="F106" s="288">
        <f>(3300000)-1323300</f>
        <v>1976700</v>
      </c>
      <c r="G106" s="288"/>
      <c r="H106" s="288"/>
      <c r="I106" s="288"/>
      <c r="J106" s="342">
        <f t="shared" si="75"/>
        <v>5421200</v>
      </c>
      <c r="K106" s="288">
        <f>(4097900)+1323300</f>
        <v>5421200</v>
      </c>
      <c r="L106" s="356"/>
      <c r="M106" s="356"/>
      <c r="N106" s="356"/>
      <c r="O106" s="303">
        <f t="shared" si="76"/>
        <v>5421200</v>
      </c>
      <c r="P106" s="342">
        <f t="shared" si="77"/>
        <v>7397900</v>
      </c>
    </row>
    <row r="107" spans="1:18" s="162" customFormat="1" ht="138.75" thickTop="1" thickBot="1" x14ac:dyDescent="0.25">
      <c r="A107" s="343" t="s">
        <v>467</v>
      </c>
      <c r="B107" s="343" t="s">
        <v>468</v>
      </c>
      <c r="C107" s="343" t="s">
        <v>336</v>
      </c>
      <c r="D107" s="343" t="s">
        <v>469</v>
      </c>
      <c r="E107" s="355">
        <f t="shared" si="81"/>
        <v>27000000</v>
      </c>
      <c r="F107" s="288">
        <f>(22000000+3000000)+2000000</f>
        <v>27000000</v>
      </c>
      <c r="G107" s="288"/>
      <c r="H107" s="288"/>
      <c r="I107" s="288"/>
      <c r="J107" s="342">
        <f t="shared" si="75"/>
        <v>0</v>
      </c>
      <c r="K107" s="288"/>
      <c r="L107" s="356"/>
      <c r="M107" s="356"/>
      <c r="N107" s="356"/>
      <c r="O107" s="303">
        <f t="shared" si="76"/>
        <v>0</v>
      </c>
      <c r="P107" s="342">
        <f t="shared" si="77"/>
        <v>27000000</v>
      </c>
    </row>
    <row r="108" spans="1:18" s="162" customFormat="1" ht="138.75" thickTop="1" thickBot="1" x14ac:dyDescent="0.25">
      <c r="A108" s="343" t="s">
        <v>339</v>
      </c>
      <c r="B108" s="343" t="s">
        <v>340</v>
      </c>
      <c r="C108" s="343" t="s">
        <v>336</v>
      </c>
      <c r="D108" s="343" t="s">
        <v>341</v>
      </c>
      <c r="E108" s="355">
        <f t="shared" si="81"/>
        <v>9595480</v>
      </c>
      <c r="F108" s="288">
        <f>(10645480-2000000)+500000+450000</f>
        <v>9595480</v>
      </c>
      <c r="G108" s="288"/>
      <c r="H108" s="288"/>
      <c r="I108" s="288"/>
      <c r="J108" s="342">
        <f t="shared" si="75"/>
        <v>0</v>
      </c>
      <c r="K108" s="288"/>
      <c r="L108" s="356"/>
      <c r="M108" s="356"/>
      <c r="N108" s="356"/>
      <c r="O108" s="303">
        <f t="shared" si="76"/>
        <v>0</v>
      </c>
      <c r="P108" s="342">
        <f t="shared" si="77"/>
        <v>9595480</v>
      </c>
    </row>
    <row r="109" spans="1:18" s="162" customFormat="1" ht="93" thickTop="1" thickBot="1" x14ac:dyDescent="0.25">
      <c r="A109" s="343" t="s">
        <v>358</v>
      </c>
      <c r="B109" s="343" t="s">
        <v>359</v>
      </c>
      <c r="C109" s="343" t="s">
        <v>336</v>
      </c>
      <c r="D109" s="343" t="s">
        <v>360</v>
      </c>
      <c r="E109" s="355">
        <f t="shared" si="81"/>
        <v>0</v>
      </c>
      <c r="F109" s="288"/>
      <c r="G109" s="288"/>
      <c r="H109" s="288"/>
      <c r="I109" s="288"/>
      <c r="J109" s="342">
        <f t="shared" si="75"/>
        <v>9235016</v>
      </c>
      <c r="K109" s="288">
        <f>(5000000)+4235016</f>
        <v>9235016</v>
      </c>
      <c r="L109" s="356"/>
      <c r="M109" s="356"/>
      <c r="N109" s="356"/>
      <c r="O109" s="303">
        <f t="shared" si="76"/>
        <v>9235016</v>
      </c>
      <c r="P109" s="342">
        <f t="shared" si="77"/>
        <v>9235016</v>
      </c>
    </row>
    <row r="110" spans="1:18" s="162" customFormat="1" ht="138.75" thickTop="1" thickBot="1" x14ac:dyDescent="0.25">
      <c r="A110" s="343" t="s">
        <v>337</v>
      </c>
      <c r="B110" s="343" t="s">
        <v>338</v>
      </c>
      <c r="C110" s="343" t="s">
        <v>336</v>
      </c>
      <c r="D110" s="343" t="s">
        <v>636</v>
      </c>
      <c r="E110" s="355">
        <f t="shared" si="81"/>
        <v>500000</v>
      </c>
      <c r="F110" s="288">
        <v>500000</v>
      </c>
      <c r="G110" s="288"/>
      <c r="H110" s="288"/>
      <c r="I110" s="288"/>
      <c r="J110" s="342">
        <f t="shared" si="75"/>
        <v>17972317</v>
      </c>
      <c r="K110" s="288">
        <f>(17000000)+972317</f>
        <v>17972317</v>
      </c>
      <c r="L110" s="356"/>
      <c r="M110" s="356"/>
      <c r="N110" s="356"/>
      <c r="O110" s="303">
        <f t="shared" si="76"/>
        <v>17972317</v>
      </c>
      <c r="P110" s="342">
        <f t="shared" si="77"/>
        <v>18472317</v>
      </c>
    </row>
    <row r="111" spans="1:18" s="162" customFormat="1" ht="230.25" thickTop="1" thickBot="1" x14ac:dyDescent="0.25">
      <c r="A111" s="343" t="s">
        <v>353</v>
      </c>
      <c r="B111" s="343" t="s">
        <v>354</v>
      </c>
      <c r="C111" s="343" t="s">
        <v>336</v>
      </c>
      <c r="D111" s="343" t="s">
        <v>355</v>
      </c>
      <c r="E111" s="355">
        <f t="shared" si="81"/>
        <v>6600000</v>
      </c>
      <c r="F111" s="288">
        <v>6600000</v>
      </c>
      <c r="G111" s="288"/>
      <c r="H111" s="288"/>
      <c r="I111" s="288"/>
      <c r="J111" s="342">
        <f t="shared" si="75"/>
        <v>0</v>
      </c>
      <c r="K111" s="285"/>
      <c r="L111" s="288"/>
      <c r="M111" s="288"/>
      <c r="N111" s="288"/>
      <c r="O111" s="303">
        <f t="shared" si="76"/>
        <v>0</v>
      </c>
      <c r="P111" s="342">
        <f t="shared" ref="P111:P114" si="82">E111+J111</f>
        <v>6600000</v>
      </c>
    </row>
    <row r="112" spans="1:18" s="162" customFormat="1" ht="93" thickTop="1" thickBot="1" x14ac:dyDescent="0.25">
      <c r="A112" s="343" t="s">
        <v>342</v>
      </c>
      <c r="B112" s="343" t="s">
        <v>343</v>
      </c>
      <c r="C112" s="343" t="s">
        <v>336</v>
      </c>
      <c r="D112" s="343" t="s">
        <v>344</v>
      </c>
      <c r="E112" s="355">
        <f t="shared" si="81"/>
        <v>156581181</v>
      </c>
      <c r="F112" s="288">
        <f>(156465346)+115835</f>
        <v>156581181</v>
      </c>
      <c r="G112" s="288"/>
      <c r="H112" s="288">
        <v>55000</v>
      </c>
      <c r="I112" s="288"/>
      <c r="J112" s="342">
        <f t="shared" si="75"/>
        <v>12233227</v>
      </c>
      <c r="K112" s="285">
        <f>(13161600)-928373</f>
        <v>12233227</v>
      </c>
      <c r="L112" s="288"/>
      <c r="M112" s="288"/>
      <c r="N112" s="288"/>
      <c r="O112" s="303">
        <f t="shared" si="76"/>
        <v>12233227</v>
      </c>
      <c r="P112" s="342">
        <f t="shared" si="82"/>
        <v>168814408</v>
      </c>
    </row>
    <row r="113" spans="1:18" s="162" customFormat="1" ht="99.75" thickTop="1" thickBot="1" x14ac:dyDescent="0.25">
      <c r="A113" s="343" t="s">
        <v>362</v>
      </c>
      <c r="B113" s="343" t="s">
        <v>363</v>
      </c>
      <c r="C113" s="343" t="s">
        <v>361</v>
      </c>
      <c r="D113" s="343" t="s">
        <v>652</v>
      </c>
      <c r="E113" s="355">
        <f t="shared" si="81"/>
        <v>0</v>
      </c>
      <c r="F113" s="288"/>
      <c r="G113" s="288"/>
      <c r="H113" s="288"/>
      <c r="I113" s="288"/>
      <c r="J113" s="342">
        <f>L113+O113</f>
        <v>9338415</v>
      </c>
      <c r="K113" s="285">
        <f>(11211415)-1873000</f>
        <v>9338415</v>
      </c>
      <c r="L113" s="288"/>
      <c r="M113" s="288"/>
      <c r="N113" s="288"/>
      <c r="O113" s="303">
        <f>K113</f>
        <v>9338415</v>
      </c>
      <c r="P113" s="342">
        <f t="shared" si="82"/>
        <v>9338415</v>
      </c>
    </row>
    <row r="114" spans="1:18" s="162" customFormat="1" ht="138.75" thickTop="1" thickBot="1" x14ac:dyDescent="0.25">
      <c r="A114" s="343" t="s">
        <v>561</v>
      </c>
      <c r="B114" s="343" t="s">
        <v>429</v>
      </c>
      <c r="C114" s="343" t="s">
        <v>212</v>
      </c>
      <c r="D114" s="343" t="s">
        <v>315</v>
      </c>
      <c r="E114" s="355">
        <f t="shared" ref="E114" si="83">F114</f>
        <v>0</v>
      </c>
      <c r="F114" s="288"/>
      <c r="G114" s="288"/>
      <c r="H114" s="288"/>
      <c r="I114" s="288"/>
      <c r="J114" s="342">
        <f>L114+O114</f>
        <v>604023.59000000008</v>
      </c>
      <c r="K114" s="285">
        <f>(2000000)-1395976.41</f>
        <v>604023.59000000008</v>
      </c>
      <c r="L114" s="288"/>
      <c r="M114" s="288"/>
      <c r="N114" s="288"/>
      <c r="O114" s="303">
        <f>K114</f>
        <v>604023.59000000008</v>
      </c>
      <c r="P114" s="342">
        <f t="shared" si="82"/>
        <v>604023.59000000008</v>
      </c>
      <c r="R114" s="157"/>
    </row>
    <row r="115" spans="1:18" s="162" customFormat="1" ht="184.5" thickTop="1" thickBot="1" x14ac:dyDescent="0.25">
      <c r="A115" s="343" t="s">
        <v>348</v>
      </c>
      <c r="B115" s="343" t="s">
        <v>349</v>
      </c>
      <c r="C115" s="343" t="s">
        <v>351</v>
      </c>
      <c r="D115" s="343" t="s">
        <v>350</v>
      </c>
      <c r="E115" s="355">
        <f t="shared" si="81"/>
        <v>49107900</v>
      </c>
      <c r="F115" s="288">
        <f>(70556900)-21449000</f>
        <v>49107900</v>
      </c>
      <c r="G115" s="288"/>
      <c r="H115" s="288"/>
      <c r="I115" s="288"/>
      <c r="J115" s="342">
        <f t="shared" si="75"/>
        <v>49602612.700000003</v>
      </c>
      <c r="K115" s="288">
        <f>(44083234)+5519378.7-19378.7</f>
        <v>49583234</v>
      </c>
      <c r="L115" s="356"/>
      <c r="M115" s="356"/>
      <c r="N115" s="356"/>
      <c r="O115" s="303">
        <f>K115+19378.7</f>
        <v>49602612.700000003</v>
      </c>
      <c r="P115" s="342">
        <f>+J115+E115</f>
        <v>98710512.700000003</v>
      </c>
    </row>
    <row r="116" spans="1:18" s="162" customFormat="1" ht="48" thickTop="1" thickBot="1" x14ac:dyDescent="0.25">
      <c r="A116" s="343" t="s">
        <v>352</v>
      </c>
      <c r="B116" s="343" t="s">
        <v>264</v>
      </c>
      <c r="C116" s="343" t="s">
        <v>265</v>
      </c>
      <c r="D116" s="343" t="s">
        <v>53</v>
      </c>
      <c r="E116" s="355">
        <f t="shared" si="81"/>
        <v>850000</v>
      </c>
      <c r="F116" s="288">
        <f>(550000)+300000</f>
        <v>850000</v>
      </c>
      <c r="G116" s="288"/>
      <c r="H116" s="288"/>
      <c r="I116" s="288"/>
      <c r="J116" s="342">
        <f t="shared" si="75"/>
        <v>25688000</v>
      </c>
      <c r="K116" s="285">
        <v>25688000</v>
      </c>
      <c r="L116" s="288"/>
      <c r="M116" s="288"/>
      <c r="N116" s="288"/>
      <c r="O116" s="303">
        <f t="shared" si="76"/>
        <v>25688000</v>
      </c>
      <c r="P116" s="342">
        <f>E116+J116</f>
        <v>26538000</v>
      </c>
    </row>
    <row r="117" spans="1:18" s="162" customFormat="1" ht="93" thickTop="1" thickBot="1" x14ac:dyDescent="0.7">
      <c r="A117" s="343" t="s">
        <v>364</v>
      </c>
      <c r="B117" s="343" t="s">
        <v>245</v>
      </c>
      <c r="C117" s="343" t="s">
        <v>212</v>
      </c>
      <c r="D117" s="343" t="s">
        <v>43</v>
      </c>
      <c r="E117" s="355">
        <f t="shared" si="81"/>
        <v>0</v>
      </c>
      <c r="F117" s="288"/>
      <c r="G117" s="288"/>
      <c r="H117" s="288"/>
      <c r="I117" s="288"/>
      <c r="J117" s="342">
        <f t="shared" si="75"/>
        <v>13214436</v>
      </c>
      <c r="K117" s="285">
        <f>((10349596-48000+300000)+450000)+2162840</f>
        <v>13214436</v>
      </c>
      <c r="L117" s="288"/>
      <c r="M117" s="288"/>
      <c r="N117" s="288"/>
      <c r="O117" s="303">
        <f t="shared" si="76"/>
        <v>13214436</v>
      </c>
      <c r="P117" s="342">
        <f>E117+J117</f>
        <v>13214436</v>
      </c>
      <c r="Q117" s="170"/>
    </row>
    <row r="118" spans="1:18" s="162" customFormat="1" ht="358.5" customHeight="1" thickTop="1" thickBot="1" x14ac:dyDescent="0.7">
      <c r="A118" s="528" t="s">
        <v>531</v>
      </c>
      <c r="B118" s="528" t="s">
        <v>413</v>
      </c>
      <c r="C118" s="528" t="s">
        <v>212</v>
      </c>
      <c r="D118" s="290" t="s">
        <v>588</v>
      </c>
      <c r="E118" s="508">
        <f t="shared" si="81"/>
        <v>0</v>
      </c>
      <c r="F118" s="513"/>
      <c r="G118" s="513"/>
      <c r="H118" s="513"/>
      <c r="I118" s="513"/>
      <c r="J118" s="508">
        <f t="shared" si="75"/>
        <v>205900</v>
      </c>
      <c r="K118" s="513"/>
      <c r="L118" s="513">
        <f>(500000)-294100</f>
        <v>205900</v>
      </c>
      <c r="M118" s="513"/>
      <c r="N118" s="513"/>
      <c r="O118" s="526">
        <f>K118+0</f>
        <v>0</v>
      </c>
      <c r="P118" s="524">
        <f>E118+J118</f>
        <v>205900</v>
      </c>
      <c r="Q118" s="171">
        <f>P118</f>
        <v>205900</v>
      </c>
    </row>
    <row r="119" spans="1:18" s="162" customFormat="1" ht="184.5" thickTop="1" thickBot="1" x14ac:dyDescent="0.7">
      <c r="A119" s="528"/>
      <c r="B119" s="528"/>
      <c r="C119" s="528"/>
      <c r="D119" s="292" t="s">
        <v>589</v>
      </c>
      <c r="E119" s="508"/>
      <c r="F119" s="513"/>
      <c r="G119" s="513"/>
      <c r="H119" s="513"/>
      <c r="I119" s="513"/>
      <c r="J119" s="508"/>
      <c r="K119" s="513"/>
      <c r="L119" s="513"/>
      <c r="M119" s="513"/>
      <c r="N119" s="513"/>
      <c r="O119" s="526"/>
      <c r="P119" s="524"/>
      <c r="Q119" s="170"/>
    </row>
    <row r="120" spans="1:18" s="162" customFormat="1" ht="138.75" thickTop="1" thickBot="1" x14ac:dyDescent="0.7">
      <c r="A120" s="343" t="s">
        <v>755</v>
      </c>
      <c r="B120" s="343" t="s">
        <v>753</v>
      </c>
      <c r="C120" s="343" t="s">
        <v>304</v>
      </c>
      <c r="D120" s="315" t="s">
        <v>754</v>
      </c>
      <c r="E120" s="355">
        <f t="shared" ref="E120" si="84">F120</f>
        <v>100000</v>
      </c>
      <c r="F120" s="288">
        <v>100000</v>
      </c>
      <c r="G120" s="288"/>
      <c r="H120" s="288"/>
      <c r="I120" s="288"/>
      <c r="J120" s="428">
        <f>L120+O120</f>
        <v>0</v>
      </c>
      <c r="K120" s="285"/>
      <c r="L120" s="288"/>
      <c r="M120" s="288"/>
      <c r="N120" s="288"/>
      <c r="O120" s="430">
        <f>K120</f>
        <v>0</v>
      </c>
      <c r="P120" s="428">
        <f>E120+J120</f>
        <v>100000</v>
      </c>
      <c r="Q120" s="170"/>
    </row>
    <row r="121" spans="1:18" s="162" customFormat="1" ht="93" thickTop="1" thickBot="1" x14ac:dyDescent="0.25">
      <c r="A121" s="343" t="s">
        <v>302</v>
      </c>
      <c r="B121" s="343" t="s">
        <v>303</v>
      </c>
      <c r="C121" s="343" t="s">
        <v>304</v>
      </c>
      <c r="D121" s="343" t="s">
        <v>301</v>
      </c>
      <c r="E121" s="355">
        <f t="shared" si="81"/>
        <v>1443054</v>
      </c>
      <c r="F121" s="288">
        <v>1443054</v>
      </c>
      <c r="G121" s="288">
        <v>1143384</v>
      </c>
      <c r="H121" s="288">
        <f>(489+13607+1212)+5000</f>
        <v>20308</v>
      </c>
      <c r="I121" s="288"/>
      <c r="J121" s="342">
        <f>L121+O121</f>
        <v>48000</v>
      </c>
      <c r="K121" s="285">
        <v>48000</v>
      </c>
      <c r="L121" s="288"/>
      <c r="M121" s="288"/>
      <c r="N121" s="288"/>
      <c r="O121" s="303">
        <f>K121</f>
        <v>48000</v>
      </c>
      <c r="P121" s="342">
        <f>E121+J121</f>
        <v>1491054</v>
      </c>
      <c r="R121" s="202" t="b">
        <f>K121='d5'!J180</f>
        <v>1</v>
      </c>
    </row>
    <row r="122" spans="1:18" s="162" customFormat="1" ht="271.5" thickTop="1" thickBot="1" x14ac:dyDescent="0.25">
      <c r="A122" s="413" t="s">
        <v>30</v>
      </c>
      <c r="B122" s="413"/>
      <c r="C122" s="413"/>
      <c r="D122" s="414" t="s">
        <v>462</v>
      </c>
      <c r="E122" s="415">
        <f>E123</f>
        <v>2751025</v>
      </c>
      <c r="F122" s="416">
        <f t="shared" ref="F122" si="85">F123</f>
        <v>2751025</v>
      </c>
      <c r="G122" s="416">
        <f t="shared" ref="G122" si="86">G123</f>
        <v>1955000</v>
      </c>
      <c r="H122" s="416">
        <f>H123</f>
        <v>64975</v>
      </c>
      <c r="I122" s="415">
        <f t="shared" ref="I122" si="87">I123</f>
        <v>0</v>
      </c>
      <c r="J122" s="415">
        <f>J123</f>
        <v>69770172</v>
      </c>
      <c r="K122" s="416">
        <f>K123</f>
        <v>69770172</v>
      </c>
      <c r="L122" s="416">
        <f>L123</f>
        <v>0</v>
      </c>
      <c r="M122" s="416">
        <f t="shared" ref="M122" si="88">M123</f>
        <v>0</v>
      </c>
      <c r="N122" s="415">
        <f>N123</f>
        <v>0</v>
      </c>
      <c r="O122" s="415">
        <f>O123</f>
        <v>69770172</v>
      </c>
      <c r="P122" s="416">
        <f t="shared" ref="P122" si="89">P123</f>
        <v>72521197</v>
      </c>
    </row>
    <row r="123" spans="1:18" s="162" customFormat="1" ht="271.5" thickTop="1" thickBot="1" x14ac:dyDescent="0.25">
      <c r="A123" s="417" t="s">
        <v>31</v>
      </c>
      <c r="B123" s="417"/>
      <c r="C123" s="417"/>
      <c r="D123" s="418" t="s">
        <v>461</v>
      </c>
      <c r="E123" s="419">
        <f>SUM(E124:E131)</f>
        <v>2751025</v>
      </c>
      <c r="F123" s="419">
        <f t="shared" ref="F123:K123" si="90">SUM(F124:F131)</f>
        <v>2751025</v>
      </c>
      <c r="G123" s="419">
        <f t="shared" si="90"/>
        <v>1955000</v>
      </c>
      <c r="H123" s="419">
        <f t="shared" si="90"/>
        <v>64975</v>
      </c>
      <c r="I123" s="419">
        <f t="shared" si="90"/>
        <v>0</v>
      </c>
      <c r="J123" s="419">
        <f t="shared" ref="J123:J131" si="91">L123+O123</f>
        <v>69770172</v>
      </c>
      <c r="K123" s="419">
        <f t="shared" si="90"/>
        <v>69770172</v>
      </c>
      <c r="L123" s="419">
        <f t="shared" ref="L123" si="92">SUM(L124:L131)</f>
        <v>0</v>
      </c>
      <c r="M123" s="419">
        <f t="shared" ref="M123" si="93">SUM(M124:M131)</f>
        <v>0</v>
      </c>
      <c r="N123" s="419">
        <f t="shared" ref="N123" si="94">SUM(N124:N131)</f>
        <v>0</v>
      </c>
      <c r="O123" s="419">
        <f t="shared" ref="O123" si="95">SUM(O124:O131)</f>
        <v>69770172</v>
      </c>
      <c r="P123" s="420">
        <f t="shared" ref="P123:P131" si="96">E123+J123</f>
        <v>72521197</v>
      </c>
      <c r="Q123" s="167" t="b">
        <f>P123=P127+P129+P130+P124+P125+P131+P126+P128</f>
        <v>1</v>
      </c>
      <c r="R123" s="168" t="b">
        <f>K123='d5'!J181</f>
        <v>1</v>
      </c>
    </row>
    <row r="124" spans="1:18" s="162" customFormat="1" ht="230.25" thickTop="1" thickBot="1" x14ac:dyDescent="0.25">
      <c r="A124" s="343" t="s">
        <v>521</v>
      </c>
      <c r="B124" s="343" t="s">
        <v>288</v>
      </c>
      <c r="C124" s="343" t="s">
        <v>286</v>
      </c>
      <c r="D124" s="343" t="s">
        <v>287</v>
      </c>
      <c r="E124" s="342">
        <f>F124</f>
        <v>2593225</v>
      </c>
      <c r="F124" s="285">
        <f>(2709225)-116000</f>
        <v>2593225</v>
      </c>
      <c r="G124" s="285">
        <f>(2059000)-104000</f>
        <v>1955000</v>
      </c>
      <c r="H124" s="285">
        <f>1430+22400+41145</f>
        <v>64975</v>
      </c>
      <c r="I124" s="285"/>
      <c r="J124" s="342">
        <f t="shared" si="91"/>
        <v>0</v>
      </c>
      <c r="K124" s="285"/>
      <c r="L124" s="285"/>
      <c r="M124" s="285"/>
      <c r="N124" s="285"/>
      <c r="O124" s="303">
        <f>K124</f>
        <v>0</v>
      </c>
      <c r="P124" s="342">
        <f t="shared" si="96"/>
        <v>2593225</v>
      </c>
      <c r="Q124" s="167"/>
      <c r="R124" s="168"/>
    </row>
    <row r="125" spans="1:18" s="162" customFormat="1" ht="93" thickTop="1" thickBot="1" x14ac:dyDescent="0.25">
      <c r="A125" s="343" t="s">
        <v>553</v>
      </c>
      <c r="B125" s="343" t="s">
        <v>55</v>
      </c>
      <c r="C125" s="343" t="s">
        <v>54</v>
      </c>
      <c r="D125" s="343" t="s">
        <v>300</v>
      </c>
      <c r="E125" s="342">
        <f>F125</f>
        <v>157800</v>
      </c>
      <c r="F125" s="285">
        <v>157800</v>
      </c>
      <c r="G125" s="285"/>
      <c r="H125" s="285"/>
      <c r="I125" s="285"/>
      <c r="J125" s="342">
        <f t="shared" si="91"/>
        <v>0</v>
      </c>
      <c r="K125" s="285"/>
      <c r="L125" s="285"/>
      <c r="M125" s="285"/>
      <c r="N125" s="285"/>
      <c r="O125" s="303">
        <f t="shared" ref="O125:O126" si="97">K125</f>
        <v>0</v>
      </c>
      <c r="P125" s="342">
        <f t="shared" si="96"/>
        <v>157800</v>
      </c>
      <c r="Q125" s="167"/>
      <c r="R125" s="168"/>
    </row>
    <row r="126" spans="1:18" s="162" customFormat="1" ht="321.75" thickTop="1" thickBot="1" x14ac:dyDescent="0.25">
      <c r="A126" s="343" t="s">
        <v>556</v>
      </c>
      <c r="B126" s="343" t="s">
        <v>558</v>
      </c>
      <c r="C126" s="343" t="s">
        <v>243</v>
      </c>
      <c r="D126" s="343" t="s">
        <v>557</v>
      </c>
      <c r="E126" s="342">
        <f t="shared" ref="E126" si="98">F126</f>
        <v>0</v>
      </c>
      <c r="F126" s="285"/>
      <c r="G126" s="285"/>
      <c r="H126" s="285"/>
      <c r="I126" s="285"/>
      <c r="J126" s="342">
        <f t="shared" si="91"/>
        <v>15000000</v>
      </c>
      <c r="K126" s="285">
        <f>10000000+5000000</f>
        <v>15000000</v>
      </c>
      <c r="L126" s="285"/>
      <c r="M126" s="285"/>
      <c r="N126" s="285"/>
      <c r="O126" s="303">
        <f t="shared" si="97"/>
        <v>15000000</v>
      </c>
      <c r="P126" s="342">
        <f t="shared" si="96"/>
        <v>15000000</v>
      </c>
      <c r="Q126" s="167"/>
      <c r="R126" s="168"/>
    </row>
    <row r="127" spans="1:18" s="162" customFormat="1" ht="99.75" thickTop="1" thickBot="1" x14ac:dyDescent="0.25">
      <c r="A127" s="343" t="s">
        <v>373</v>
      </c>
      <c r="B127" s="343" t="s">
        <v>374</v>
      </c>
      <c r="C127" s="343" t="s">
        <v>361</v>
      </c>
      <c r="D127" s="343" t="s">
        <v>650</v>
      </c>
      <c r="E127" s="342">
        <f t="shared" ref="E127:E129" si="99">F127</f>
        <v>0</v>
      </c>
      <c r="F127" s="285"/>
      <c r="G127" s="285"/>
      <c r="H127" s="285"/>
      <c r="I127" s="285"/>
      <c r="J127" s="342">
        <f t="shared" si="91"/>
        <v>17400000</v>
      </c>
      <c r="K127" s="285">
        <f>((12200000)+3000000)+2200000</f>
        <v>17400000</v>
      </c>
      <c r="L127" s="285"/>
      <c r="M127" s="285"/>
      <c r="N127" s="285"/>
      <c r="O127" s="303">
        <f>K127</f>
        <v>17400000</v>
      </c>
      <c r="P127" s="342">
        <f t="shared" si="96"/>
        <v>17400000</v>
      </c>
      <c r="Q127" s="157"/>
    </row>
    <row r="128" spans="1:18" s="162" customFormat="1" ht="99.75" thickTop="1" thickBot="1" x14ac:dyDescent="0.25">
      <c r="A128" s="343" t="s">
        <v>751</v>
      </c>
      <c r="B128" s="343" t="s">
        <v>752</v>
      </c>
      <c r="C128" s="343" t="s">
        <v>361</v>
      </c>
      <c r="D128" s="343" t="s">
        <v>750</v>
      </c>
      <c r="E128" s="342">
        <f t="shared" si="99"/>
        <v>0</v>
      </c>
      <c r="F128" s="285"/>
      <c r="G128" s="285"/>
      <c r="H128" s="285"/>
      <c r="I128" s="285"/>
      <c r="J128" s="342">
        <f t="shared" si="91"/>
        <v>152378</v>
      </c>
      <c r="K128" s="285">
        <f>52378+100000</f>
        <v>152378</v>
      </c>
      <c r="L128" s="285"/>
      <c r="M128" s="285"/>
      <c r="N128" s="285"/>
      <c r="O128" s="303">
        <f>K128</f>
        <v>152378</v>
      </c>
      <c r="P128" s="342">
        <f t="shared" si="96"/>
        <v>152378</v>
      </c>
      <c r="Q128" s="157"/>
    </row>
    <row r="129" spans="1:18" s="162" customFormat="1" ht="145.5" thickTop="1" thickBot="1" x14ac:dyDescent="0.25">
      <c r="A129" s="343" t="s">
        <v>375</v>
      </c>
      <c r="B129" s="343" t="s">
        <v>376</v>
      </c>
      <c r="C129" s="343" t="s">
        <v>361</v>
      </c>
      <c r="D129" s="343" t="s">
        <v>649</v>
      </c>
      <c r="E129" s="342">
        <f t="shared" si="99"/>
        <v>0</v>
      </c>
      <c r="F129" s="285"/>
      <c r="G129" s="285"/>
      <c r="H129" s="285"/>
      <c r="I129" s="285"/>
      <c r="J129" s="342">
        <f t="shared" si="91"/>
        <v>600000</v>
      </c>
      <c r="K129" s="285">
        <f>(1000000)-400000</f>
        <v>600000</v>
      </c>
      <c r="L129" s="285"/>
      <c r="M129" s="285"/>
      <c r="N129" s="285"/>
      <c r="O129" s="303">
        <f>K129</f>
        <v>600000</v>
      </c>
      <c r="P129" s="342">
        <f t="shared" si="96"/>
        <v>600000</v>
      </c>
      <c r="Q129" s="157"/>
    </row>
    <row r="130" spans="1:18" s="162" customFormat="1" ht="99.75" thickTop="1" thickBot="1" x14ac:dyDescent="0.3">
      <c r="A130" s="343" t="s">
        <v>378</v>
      </c>
      <c r="B130" s="343" t="s">
        <v>379</v>
      </c>
      <c r="C130" s="343" t="s">
        <v>361</v>
      </c>
      <c r="D130" s="343" t="s">
        <v>648</v>
      </c>
      <c r="E130" s="342">
        <f>F130</f>
        <v>0</v>
      </c>
      <c r="F130" s="285"/>
      <c r="G130" s="285"/>
      <c r="H130" s="285"/>
      <c r="I130" s="285"/>
      <c r="J130" s="342">
        <f t="shared" si="91"/>
        <v>16747622</v>
      </c>
      <c r="K130" s="285">
        <f>(14800000)+1947622</f>
        <v>16747622</v>
      </c>
      <c r="L130" s="285"/>
      <c r="M130" s="285"/>
      <c r="N130" s="285"/>
      <c r="O130" s="303">
        <f>K130</f>
        <v>16747622</v>
      </c>
      <c r="P130" s="342">
        <f t="shared" si="96"/>
        <v>16747622</v>
      </c>
      <c r="Q130" s="208"/>
    </row>
    <row r="131" spans="1:18" s="162" customFormat="1" ht="138.75" thickTop="1" thickBot="1" x14ac:dyDescent="0.25">
      <c r="A131" s="343" t="s">
        <v>575</v>
      </c>
      <c r="B131" s="343" t="s">
        <v>429</v>
      </c>
      <c r="C131" s="343" t="s">
        <v>212</v>
      </c>
      <c r="D131" s="343" t="s">
        <v>315</v>
      </c>
      <c r="E131" s="342">
        <f>F131</f>
        <v>0</v>
      </c>
      <c r="F131" s="285"/>
      <c r="G131" s="285"/>
      <c r="H131" s="285"/>
      <c r="I131" s="285"/>
      <c r="J131" s="342">
        <f t="shared" si="91"/>
        <v>19870172</v>
      </c>
      <c r="K131" s="285">
        <f>((23000000)-3000000)-29828-100000</f>
        <v>19870172</v>
      </c>
      <c r="L131" s="285"/>
      <c r="M131" s="285"/>
      <c r="N131" s="285"/>
      <c r="O131" s="303">
        <f>K131</f>
        <v>19870172</v>
      </c>
      <c r="P131" s="342">
        <f t="shared" si="96"/>
        <v>19870172</v>
      </c>
    </row>
    <row r="132" spans="1:18" s="162" customFormat="1" ht="226.5" thickTop="1" thickBot="1" x14ac:dyDescent="0.25">
      <c r="A132" s="413" t="s">
        <v>202</v>
      </c>
      <c r="B132" s="413"/>
      <c r="C132" s="413"/>
      <c r="D132" s="414" t="s">
        <v>32</v>
      </c>
      <c r="E132" s="415">
        <f>E133</f>
        <v>4299600</v>
      </c>
      <c r="F132" s="416">
        <f t="shared" ref="F132" si="100">F133</f>
        <v>4299600</v>
      </c>
      <c r="G132" s="416">
        <f t="shared" ref="G132" si="101">G133</f>
        <v>3108000</v>
      </c>
      <c r="H132" s="416">
        <f>H133</f>
        <v>107000</v>
      </c>
      <c r="I132" s="415">
        <f t="shared" ref="I132" si="102">I133</f>
        <v>0</v>
      </c>
      <c r="J132" s="415">
        <f>J133</f>
        <v>441220</v>
      </c>
      <c r="K132" s="416">
        <f>K133</f>
        <v>441220</v>
      </c>
      <c r="L132" s="416">
        <f>L133</f>
        <v>0</v>
      </c>
      <c r="M132" s="416">
        <f t="shared" ref="M132" si="103">M133</f>
        <v>0</v>
      </c>
      <c r="N132" s="415">
        <f>N133</f>
        <v>0</v>
      </c>
      <c r="O132" s="415">
        <f>O133</f>
        <v>441220</v>
      </c>
      <c r="P132" s="416">
        <f t="shared" ref="P132" si="104">P133</f>
        <v>4740820</v>
      </c>
    </row>
    <row r="133" spans="1:18" s="162" customFormat="1" ht="226.5" thickTop="1" thickBot="1" x14ac:dyDescent="0.25">
      <c r="A133" s="417" t="s">
        <v>203</v>
      </c>
      <c r="B133" s="417"/>
      <c r="C133" s="417"/>
      <c r="D133" s="418" t="s">
        <v>50</v>
      </c>
      <c r="E133" s="419">
        <f>SUM(E134:E135)</f>
        <v>4299600</v>
      </c>
      <c r="F133" s="419">
        <f>SUM(F134:F135)</f>
        <v>4299600</v>
      </c>
      <c r="G133" s="419">
        <f>SUM(G134:G135)</f>
        <v>3108000</v>
      </c>
      <c r="H133" s="419">
        <f>SUM(H134:H135)</f>
        <v>107000</v>
      </c>
      <c r="I133" s="419">
        <f>SUM(I134:I135)</f>
        <v>0</v>
      </c>
      <c r="J133" s="419">
        <f>L133+O133</f>
        <v>441220</v>
      </c>
      <c r="K133" s="419">
        <f>SUM(K134:K135)</f>
        <v>441220</v>
      </c>
      <c r="L133" s="419">
        <f>SUM(L134:L135)</f>
        <v>0</v>
      </c>
      <c r="M133" s="419">
        <f>SUM(M134:M135)</f>
        <v>0</v>
      </c>
      <c r="N133" s="419">
        <f>SUM(N134:N135)</f>
        <v>0</v>
      </c>
      <c r="O133" s="419">
        <f>SUM(O134:O135)</f>
        <v>441220</v>
      </c>
      <c r="P133" s="420">
        <f>E133+J133</f>
        <v>4740820</v>
      </c>
      <c r="Q133" s="167" t="b">
        <f>P133=P134+P135</f>
        <v>1</v>
      </c>
      <c r="R133" s="202" t="b">
        <f>K133='d5'!J202</f>
        <v>1</v>
      </c>
    </row>
    <row r="134" spans="1:18" s="162" customFormat="1" ht="230.25" thickTop="1" thickBot="1" x14ac:dyDescent="0.25">
      <c r="A134" s="343" t="s">
        <v>523</v>
      </c>
      <c r="B134" s="343" t="s">
        <v>288</v>
      </c>
      <c r="C134" s="343" t="s">
        <v>286</v>
      </c>
      <c r="D134" s="343" t="s">
        <v>287</v>
      </c>
      <c r="E134" s="342">
        <f>F134</f>
        <v>4299600</v>
      </c>
      <c r="F134" s="285">
        <f>(4515600)-216000</f>
        <v>4299600</v>
      </c>
      <c r="G134" s="285">
        <f>(3285000)-177000</f>
        <v>3108000</v>
      </c>
      <c r="H134" s="285">
        <f>78300+1300+27400</f>
        <v>107000</v>
      </c>
      <c r="I134" s="285"/>
      <c r="J134" s="342">
        <f>L134+O134</f>
        <v>0</v>
      </c>
      <c r="K134" s="285"/>
      <c r="L134" s="285"/>
      <c r="M134" s="285"/>
      <c r="N134" s="285"/>
      <c r="O134" s="303">
        <f>K134</f>
        <v>0</v>
      </c>
      <c r="P134" s="342">
        <f>E134+J134</f>
        <v>4299600</v>
      </c>
      <c r="Q134" s="167"/>
      <c r="R134" s="168"/>
    </row>
    <row r="135" spans="1:18" s="162" customFormat="1" ht="138.75" thickTop="1" thickBot="1" x14ac:dyDescent="0.25">
      <c r="A135" s="431" t="s">
        <v>757</v>
      </c>
      <c r="B135" s="431" t="s">
        <v>758</v>
      </c>
      <c r="C135" s="431" t="s">
        <v>361</v>
      </c>
      <c r="D135" s="431" t="s">
        <v>759</v>
      </c>
      <c r="E135" s="428">
        <f>F135</f>
        <v>0</v>
      </c>
      <c r="F135" s="285"/>
      <c r="G135" s="285"/>
      <c r="H135" s="285"/>
      <c r="I135" s="285"/>
      <c r="J135" s="428">
        <f>L135+O135</f>
        <v>441220</v>
      </c>
      <c r="K135" s="285">
        <v>441220</v>
      </c>
      <c r="L135" s="285"/>
      <c r="M135" s="285"/>
      <c r="N135" s="285"/>
      <c r="O135" s="430">
        <f>K135</f>
        <v>441220</v>
      </c>
      <c r="P135" s="428">
        <f>E135+J135</f>
        <v>441220</v>
      </c>
      <c r="Q135" s="167"/>
      <c r="R135" s="202"/>
    </row>
    <row r="136" spans="1:18" s="162" customFormat="1" ht="136.5" thickTop="1" thickBot="1" x14ac:dyDescent="0.25">
      <c r="A136" s="413" t="s">
        <v>594</v>
      </c>
      <c r="B136" s="413"/>
      <c r="C136" s="413"/>
      <c r="D136" s="414" t="s">
        <v>596</v>
      </c>
      <c r="E136" s="415">
        <f>E137</f>
        <v>54317342</v>
      </c>
      <c r="F136" s="416">
        <f t="shared" ref="F136:G136" si="105">F137</f>
        <v>54317342</v>
      </c>
      <c r="G136" s="416">
        <f t="shared" si="105"/>
        <v>1712600</v>
      </c>
      <c r="H136" s="416">
        <f>H137</f>
        <v>112500</v>
      </c>
      <c r="I136" s="415">
        <f t="shared" ref="I136" si="106">I137</f>
        <v>0</v>
      </c>
      <c r="J136" s="415">
        <f>J137</f>
        <v>49000</v>
      </c>
      <c r="K136" s="416">
        <f>K137</f>
        <v>49000</v>
      </c>
      <c r="L136" s="416">
        <f>L137</f>
        <v>0</v>
      </c>
      <c r="M136" s="416">
        <f t="shared" ref="M136" si="107">M137</f>
        <v>0</v>
      </c>
      <c r="N136" s="415">
        <f>N137</f>
        <v>0</v>
      </c>
      <c r="O136" s="415">
        <f>O137</f>
        <v>49000</v>
      </c>
      <c r="P136" s="416">
        <f t="shared" ref="P136" si="108">P137</f>
        <v>54366342</v>
      </c>
    </row>
    <row r="137" spans="1:18" s="162" customFormat="1" ht="181.5" thickTop="1" thickBot="1" x14ac:dyDescent="0.25">
      <c r="A137" s="417" t="s">
        <v>595</v>
      </c>
      <c r="B137" s="417"/>
      <c r="C137" s="417"/>
      <c r="D137" s="418" t="s">
        <v>597</v>
      </c>
      <c r="E137" s="419">
        <f>SUM(E138:E140)</f>
        <v>54317342</v>
      </c>
      <c r="F137" s="419">
        <f t="shared" ref="F137:O137" si="109">SUM(F138:F140)</f>
        <v>54317342</v>
      </c>
      <c r="G137" s="419">
        <f t="shared" si="109"/>
        <v>1712600</v>
      </c>
      <c r="H137" s="419">
        <f t="shared" si="109"/>
        <v>112500</v>
      </c>
      <c r="I137" s="419">
        <f t="shared" si="109"/>
        <v>0</v>
      </c>
      <c r="J137" s="419">
        <f>L137+O137</f>
        <v>49000</v>
      </c>
      <c r="K137" s="419">
        <f t="shared" si="109"/>
        <v>49000</v>
      </c>
      <c r="L137" s="419">
        <f t="shared" si="109"/>
        <v>0</v>
      </c>
      <c r="M137" s="419">
        <f t="shared" si="109"/>
        <v>0</v>
      </c>
      <c r="N137" s="419">
        <f t="shared" si="109"/>
        <v>0</v>
      </c>
      <c r="O137" s="419">
        <f t="shared" si="109"/>
        <v>49000</v>
      </c>
      <c r="P137" s="420">
        <f>E137+J137</f>
        <v>54366342</v>
      </c>
      <c r="Q137" s="167" t="b">
        <f>P137=P138+P139+P140</f>
        <v>1</v>
      </c>
      <c r="R137" s="198" t="b">
        <f>K137='d5'!J205</f>
        <v>1</v>
      </c>
    </row>
    <row r="138" spans="1:18" s="162" customFormat="1" ht="230.25" thickTop="1" thickBot="1" x14ac:dyDescent="0.25">
      <c r="A138" s="343" t="s">
        <v>598</v>
      </c>
      <c r="B138" s="343" t="s">
        <v>288</v>
      </c>
      <c r="C138" s="343" t="s">
        <v>286</v>
      </c>
      <c r="D138" s="343" t="s">
        <v>287</v>
      </c>
      <c r="E138" s="342">
        <f>F138</f>
        <v>2781900</v>
      </c>
      <c r="F138" s="285">
        <f>(2688500)+93400</f>
        <v>2781900</v>
      </c>
      <c r="G138" s="285">
        <f>(1800000)-87400</f>
        <v>1712600</v>
      </c>
      <c r="H138" s="285">
        <f>50000+2500+56700+3300</f>
        <v>112500</v>
      </c>
      <c r="I138" s="285"/>
      <c r="J138" s="342">
        <f>L138+O138</f>
        <v>49000</v>
      </c>
      <c r="K138" s="285">
        <v>49000</v>
      </c>
      <c r="L138" s="285"/>
      <c r="M138" s="285"/>
      <c r="N138" s="285"/>
      <c r="O138" s="303">
        <f>K138</f>
        <v>49000</v>
      </c>
      <c r="P138" s="342">
        <f>E138+J138</f>
        <v>2830900</v>
      </c>
      <c r="Q138" s="167"/>
      <c r="R138" s="198" t="b">
        <f>K138='d5'!J207</f>
        <v>1</v>
      </c>
    </row>
    <row r="139" spans="1:18" s="162" customFormat="1" ht="93" hidden="1" thickTop="1" thickBot="1" x14ac:dyDescent="0.25">
      <c r="A139" s="343" t="s">
        <v>637</v>
      </c>
      <c r="B139" s="343" t="s">
        <v>513</v>
      </c>
      <c r="C139" s="343" t="s">
        <v>514</v>
      </c>
      <c r="D139" s="343" t="s">
        <v>515</v>
      </c>
      <c r="E139" s="342">
        <f>F139</f>
        <v>0</v>
      </c>
      <c r="F139" s="285">
        <f>(34016813)-19850000-9713396-4453417</f>
        <v>0</v>
      </c>
      <c r="G139" s="285"/>
      <c r="H139" s="285"/>
      <c r="I139" s="285"/>
      <c r="J139" s="342">
        <f>L139+O139</f>
        <v>0</v>
      </c>
      <c r="K139" s="285"/>
      <c r="L139" s="285"/>
      <c r="M139" s="285"/>
      <c r="N139" s="285"/>
      <c r="O139" s="303">
        <f>K139</f>
        <v>0</v>
      </c>
      <c r="P139" s="342">
        <f>E139+J139</f>
        <v>0</v>
      </c>
      <c r="Q139" s="167"/>
      <c r="R139" s="202"/>
    </row>
    <row r="140" spans="1:18" s="162" customFormat="1" ht="93" thickTop="1" thickBot="1" x14ac:dyDescent="0.25">
      <c r="A140" s="343" t="s">
        <v>638</v>
      </c>
      <c r="B140" s="343" t="s">
        <v>345</v>
      </c>
      <c r="C140" s="343" t="s">
        <v>347</v>
      </c>
      <c r="D140" s="343" t="s">
        <v>346</v>
      </c>
      <c r="E140" s="342">
        <f>F140</f>
        <v>51535442</v>
      </c>
      <c r="F140" s="285">
        <f>(30868629+9713396+4453417)+6500000</f>
        <v>51535442</v>
      </c>
      <c r="G140" s="285"/>
      <c r="H140" s="285"/>
      <c r="I140" s="285"/>
      <c r="J140" s="342">
        <f>L140+O140</f>
        <v>0</v>
      </c>
      <c r="K140" s="285"/>
      <c r="L140" s="285"/>
      <c r="M140" s="285"/>
      <c r="N140" s="285"/>
      <c r="O140" s="303">
        <f>K140</f>
        <v>0</v>
      </c>
      <c r="P140" s="342">
        <f>E140+J140</f>
        <v>51535442</v>
      </c>
      <c r="Q140" s="167"/>
      <c r="R140" s="202"/>
    </row>
    <row r="141" spans="1:18" s="162" customFormat="1" ht="136.5" thickTop="1" thickBot="1" x14ac:dyDescent="0.25">
      <c r="A141" s="413" t="s">
        <v>208</v>
      </c>
      <c r="B141" s="413"/>
      <c r="C141" s="413"/>
      <c r="D141" s="414" t="s">
        <v>433</v>
      </c>
      <c r="E141" s="415">
        <f>E142</f>
        <v>8154765</v>
      </c>
      <c r="F141" s="416">
        <f t="shared" ref="F141" si="110">F142</f>
        <v>8154765</v>
      </c>
      <c r="G141" s="416">
        <f t="shared" ref="G141" si="111">G142</f>
        <v>0</v>
      </c>
      <c r="H141" s="416">
        <f>H142</f>
        <v>0</v>
      </c>
      <c r="I141" s="415">
        <f t="shared" ref="I141" si="112">I142</f>
        <v>0</v>
      </c>
      <c r="J141" s="415">
        <f>J142</f>
        <v>420000</v>
      </c>
      <c r="K141" s="416">
        <f>K142</f>
        <v>420000</v>
      </c>
      <c r="L141" s="416">
        <f>L142</f>
        <v>0</v>
      </c>
      <c r="M141" s="416">
        <f t="shared" ref="M141" si="113">M142</f>
        <v>0</v>
      </c>
      <c r="N141" s="415">
        <f>N142</f>
        <v>0</v>
      </c>
      <c r="O141" s="415">
        <f>O142</f>
        <v>420000</v>
      </c>
      <c r="P141" s="416">
        <f t="shared" ref="P141" si="114">P142</f>
        <v>8574765</v>
      </c>
    </row>
    <row r="142" spans="1:18" s="162" customFormat="1" ht="136.5" thickTop="1" thickBot="1" x14ac:dyDescent="0.25">
      <c r="A142" s="417" t="s">
        <v>209</v>
      </c>
      <c r="B142" s="417"/>
      <c r="C142" s="417"/>
      <c r="D142" s="418" t="s">
        <v>434</v>
      </c>
      <c r="E142" s="419">
        <f>SUM(E143:E146)</f>
        <v>8154765</v>
      </c>
      <c r="F142" s="419">
        <f>SUM(F143:F146)</f>
        <v>8154765</v>
      </c>
      <c r="G142" s="419">
        <f>SUM(G143:G146)</f>
        <v>0</v>
      </c>
      <c r="H142" s="419">
        <f>SUM(H143:H146)</f>
        <v>0</v>
      </c>
      <c r="I142" s="419">
        <f>SUM(I143:I146)</f>
        <v>0</v>
      </c>
      <c r="J142" s="419">
        <f t="shared" ref="J142:J146" si="115">L142+O142</f>
        <v>420000</v>
      </c>
      <c r="K142" s="419">
        <f>SUM(K143:K146)</f>
        <v>420000</v>
      </c>
      <c r="L142" s="419">
        <f>SUM(L143:L146)</f>
        <v>0</v>
      </c>
      <c r="M142" s="419">
        <f>SUM(M143:M146)</f>
        <v>0</v>
      </c>
      <c r="N142" s="419">
        <f>SUM(N143:N146)</f>
        <v>0</v>
      </c>
      <c r="O142" s="419">
        <f>SUM(O143:O146)</f>
        <v>420000</v>
      </c>
      <c r="P142" s="420">
        <f t="shared" ref="P142:P146" si="116">E142+J142</f>
        <v>8574765</v>
      </c>
      <c r="Q142" s="167" t="b">
        <f>P142=P143+P144+P145+P146</f>
        <v>1</v>
      </c>
      <c r="R142" s="168" t="b">
        <f>K142='d5'!J209</f>
        <v>1</v>
      </c>
    </row>
    <row r="143" spans="1:18" s="162" customFormat="1" ht="138.75" hidden="1" thickTop="1" thickBot="1" x14ac:dyDescent="0.25">
      <c r="A143" s="343" t="s">
        <v>428</v>
      </c>
      <c r="B143" s="343" t="s">
        <v>429</v>
      </c>
      <c r="C143" s="343" t="s">
        <v>212</v>
      </c>
      <c r="D143" s="343" t="s">
        <v>315</v>
      </c>
      <c r="E143" s="342">
        <f>F143</f>
        <v>0</v>
      </c>
      <c r="F143" s="285"/>
      <c r="G143" s="285"/>
      <c r="H143" s="285"/>
      <c r="I143" s="285"/>
      <c r="J143" s="342">
        <f t="shared" si="115"/>
        <v>0</v>
      </c>
      <c r="K143" s="285">
        <f>(3000000)-3000000</f>
        <v>0</v>
      </c>
      <c r="L143" s="285"/>
      <c r="M143" s="285"/>
      <c r="N143" s="285"/>
      <c r="O143" s="303">
        <f>K143</f>
        <v>0</v>
      </c>
      <c r="P143" s="342">
        <f t="shared" si="116"/>
        <v>0</v>
      </c>
      <c r="R143" s="198" t="b">
        <f>K143='d5'!J210</f>
        <v>1</v>
      </c>
    </row>
    <row r="144" spans="1:18" s="162" customFormat="1" ht="93" thickTop="1" thickBot="1" x14ac:dyDescent="0.25">
      <c r="A144" s="343" t="s">
        <v>313</v>
      </c>
      <c r="B144" s="343" t="s">
        <v>314</v>
      </c>
      <c r="C144" s="343" t="s">
        <v>312</v>
      </c>
      <c r="D144" s="343" t="s">
        <v>311</v>
      </c>
      <c r="E144" s="342">
        <f t="shared" ref="E144:E146" si="117">F144</f>
        <v>4819000</v>
      </c>
      <c r="F144" s="285">
        <f>(4319000)+500000</f>
        <v>4819000</v>
      </c>
      <c r="G144" s="285"/>
      <c r="H144" s="285"/>
      <c r="I144" s="285"/>
      <c r="J144" s="342">
        <f t="shared" si="115"/>
        <v>0</v>
      </c>
      <c r="K144" s="285"/>
      <c r="L144" s="285"/>
      <c r="M144" s="285"/>
      <c r="N144" s="285"/>
      <c r="O144" s="303">
        <f>K144</f>
        <v>0</v>
      </c>
      <c r="P144" s="342">
        <f t="shared" si="116"/>
        <v>4819000</v>
      </c>
      <c r="R144" s="168"/>
    </row>
    <row r="145" spans="1:18" s="162" customFormat="1" ht="138.75" thickTop="1" thickBot="1" x14ac:dyDescent="0.25">
      <c r="A145" s="343" t="s">
        <v>305</v>
      </c>
      <c r="B145" s="343" t="s">
        <v>307</v>
      </c>
      <c r="C145" s="343" t="s">
        <v>265</v>
      </c>
      <c r="D145" s="343" t="s">
        <v>306</v>
      </c>
      <c r="E145" s="342">
        <f t="shared" si="117"/>
        <v>320000</v>
      </c>
      <c r="F145" s="285">
        <f>(420000)-100000</f>
        <v>320000</v>
      </c>
      <c r="G145" s="285"/>
      <c r="H145" s="285"/>
      <c r="I145" s="285"/>
      <c r="J145" s="342">
        <f t="shared" si="115"/>
        <v>0</v>
      </c>
      <c r="K145" s="285"/>
      <c r="L145" s="285"/>
      <c r="M145" s="285"/>
      <c r="N145" s="285"/>
      <c r="O145" s="303">
        <f>K145</f>
        <v>0</v>
      </c>
      <c r="P145" s="342">
        <f t="shared" si="116"/>
        <v>320000</v>
      </c>
      <c r="R145" s="168"/>
    </row>
    <row r="146" spans="1:18" s="162" customFormat="1" ht="93" thickTop="1" thickBot="1" x14ac:dyDescent="0.25">
      <c r="A146" s="343" t="s">
        <v>309</v>
      </c>
      <c r="B146" s="343" t="s">
        <v>310</v>
      </c>
      <c r="C146" s="343" t="s">
        <v>212</v>
      </c>
      <c r="D146" s="343" t="s">
        <v>308</v>
      </c>
      <c r="E146" s="342">
        <f t="shared" si="117"/>
        <v>3015765</v>
      </c>
      <c r="F146" s="285">
        <f>(3285765)-50000-220000</f>
        <v>3015765</v>
      </c>
      <c r="G146" s="285"/>
      <c r="H146" s="285"/>
      <c r="I146" s="285"/>
      <c r="J146" s="342">
        <f t="shared" si="115"/>
        <v>420000</v>
      </c>
      <c r="K146" s="285">
        <f>(200000)+220000</f>
        <v>420000</v>
      </c>
      <c r="L146" s="285"/>
      <c r="M146" s="285"/>
      <c r="N146" s="285"/>
      <c r="O146" s="303">
        <f>K146</f>
        <v>420000</v>
      </c>
      <c r="P146" s="342">
        <f t="shared" si="116"/>
        <v>3435765</v>
      </c>
      <c r="R146" s="168" t="b">
        <f>K146='d5'!J211</f>
        <v>1</v>
      </c>
    </row>
    <row r="147" spans="1:18" s="162" customFormat="1" ht="136.5" thickTop="1" thickBot="1" x14ac:dyDescent="0.25">
      <c r="A147" s="413" t="s">
        <v>206</v>
      </c>
      <c r="B147" s="413"/>
      <c r="C147" s="413"/>
      <c r="D147" s="414" t="s">
        <v>33</v>
      </c>
      <c r="E147" s="415">
        <f>E148</f>
        <v>4762390</v>
      </c>
      <c r="F147" s="416">
        <f t="shared" ref="F147" si="118">F148</f>
        <v>4762390</v>
      </c>
      <c r="G147" s="416">
        <f t="shared" ref="G147" si="119">G148</f>
        <v>3624300</v>
      </c>
      <c r="H147" s="416">
        <f>H148</f>
        <v>96881</v>
      </c>
      <c r="I147" s="415">
        <f t="shared" ref="I147" si="120">I148</f>
        <v>0</v>
      </c>
      <c r="J147" s="415">
        <f>J148</f>
        <v>965963.28</v>
      </c>
      <c r="K147" s="416">
        <f>K148</f>
        <v>0</v>
      </c>
      <c r="L147" s="416">
        <f>L148</f>
        <v>477857.28000000003</v>
      </c>
      <c r="M147" s="416">
        <f t="shared" ref="M147" si="121">M148</f>
        <v>0</v>
      </c>
      <c r="N147" s="415">
        <f>N148</f>
        <v>0</v>
      </c>
      <c r="O147" s="415">
        <f>O148</f>
        <v>488106</v>
      </c>
      <c r="P147" s="416">
        <f t="shared" ref="P147" si="122">P148</f>
        <v>5728353.2800000003</v>
      </c>
    </row>
    <row r="148" spans="1:18" s="162" customFormat="1" ht="181.5" thickTop="1" thickBot="1" x14ac:dyDescent="0.25">
      <c r="A148" s="417" t="s">
        <v>207</v>
      </c>
      <c r="B148" s="417"/>
      <c r="C148" s="417"/>
      <c r="D148" s="418" t="s">
        <v>51</v>
      </c>
      <c r="E148" s="419">
        <f>SUM(E149:E153)</f>
        <v>4762390</v>
      </c>
      <c r="F148" s="419">
        <f>SUM(F149:F153)</f>
        <v>4762390</v>
      </c>
      <c r="G148" s="419">
        <f>SUM(G149:G153)</f>
        <v>3624300</v>
      </c>
      <c r="H148" s="419">
        <f>SUM(H149:H153)</f>
        <v>96881</v>
      </c>
      <c r="I148" s="419">
        <f>SUM(I149:I153)</f>
        <v>0</v>
      </c>
      <c r="J148" s="419">
        <f t="shared" ref="J148:J153" si="123">L148+O148</f>
        <v>965963.28</v>
      </c>
      <c r="K148" s="419">
        <f>SUM(K149:K153)</f>
        <v>0</v>
      </c>
      <c r="L148" s="419">
        <f>SUM(L149:L153)</f>
        <v>477857.28000000003</v>
      </c>
      <c r="M148" s="419">
        <f>SUM(M149:M153)</f>
        <v>0</v>
      </c>
      <c r="N148" s="419">
        <f>SUM(N149:N153)</f>
        <v>0</v>
      </c>
      <c r="O148" s="419">
        <f>SUM(O149:O153)</f>
        <v>488106</v>
      </c>
      <c r="P148" s="420">
        <f t="shared" ref="P148:P153" si="124">E148+J148</f>
        <v>5728353.2800000003</v>
      </c>
      <c r="Q148" s="167" t="b">
        <f>P148=P150+P153+P149+P151+P152</f>
        <v>1</v>
      </c>
      <c r="R148" s="168"/>
    </row>
    <row r="149" spans="1:18" s="278" customFormat="1" ht="230.25" thickTop="1" thickBot="1" x14ac:dyDescent="0.25">
      <c r="A149" s="343" t="s">
        <v>526</v>
      </c>
      <c r="B149" s="343" t="s">
        <v>288</v>
      </c>
      <c r="C149" s="343" t="s">
        <v>286</v>
      </c>
      <c r="D149" s="343" t="s">
        <v>287</v>
      </c>
      <c r="E149" s="342">
        <f>F149</f>
        <v>4762390</v>
      </c>
      <c r="F149" s="285">
        <f>(4823390)-61000</f>
        <v>4762390</v>
      </c>
      <c r="G149" s="285">
        <f>(3674300)-50000</f>
        <v>3624300</v>
      </c>
      <c r="H149" s="285">
        <f>75551+1316+17590+2424</f>
        <v>96881</v>
      </c>
      <c r="I149" s="285"/>
      <c r="J149" s="342">
        <f t="shared" si="123"/>
        <v>0</v>
      </c>
      <c r="K149" s="285"/>
      <c r="L149" s="285"/>
      <c r="M149" s="285"/>
      <c r="N149" s="285"/>
      <c r="O149" s="303">
        <f>K149</f>
        <v>0</v>
      </c>
      <c r="P149" s="342">
        <f t="shared" si="124"/>
        <v>4762390</v>
      </c>
      <c r="Q149" s="276"/>
      <c r="R149" s="277"/>
    </row>
    <row r="150" spans="1:18" s="278" customFormat="1" ht="93" thickTop="1" thickBot="1" x14ac:dyDescent="0.25">
      <c r="A150" s="343" t="s">
        <v>368</v>
      </c>
      <c r="B150" s="343" t="s">
        <v>369</v>
      </c>
      <c r="C150" s="343" t="s">
        <v>64</v>
      </c>
      <c r="D150" s="343" t="s">
        <v>65</v>
      </c>
      <c r="E150" s="342">
        <f t="shared" ref="E150" si="125">F150</f>
        <v>0</v>
      </c>
      <c r="F150" s="285"/>
      <c r="G150" s="285"/>
      <c r="H150" s="285"/>
      <c r="I150" s="285"/>
      <c r="J150" s="342">
        <f t="shared" si="123"/>
        <v>738106</v>
      </c>
      <c r="K150" s="285"/>
      <c r="L150" s="285">
        <f>(30000)+290000</f>
        <v>320000</v>
      </c>
      <c r="M150" s="285"/>
      <c r="N150" s="285"/>
      <c r="O150" s="303">
        <f>(K150+370000)+48106</f>
        <v>418106</v>
      </c>
      <c r="P150" s="342">
        <f t="shared" si="124"/>
        <v>738106</v>
      </c>
    </row>
    <row r="151" spans="1:18" s="278" customFormat="1" ht="48" thickTop="1" thickBot="1" x14ac:dyDescent="0.25">
      <c r="A151" s="343" t="s">
        <v>653</v>
      </c>
      <c r="B151" s="343" t="s">
        <v>654</v>
      </c>
      <c r="C151" s="343" t="s">
        <v>647</v>
      </c>
      <c r="D151" s="343" t="s">
        <v>655</v>
      </c>
      <c r="E151" s="342">
        <f t="shared" ref="E151:E152" si="126">F151</f>
        <v>0</v>
      </c>
      <c r="F151" s="285"/>
      <c r="G151" s="285"/>
      <c r="H151" s="285"/>
      <c r="I151" s="285"/>
      <c r="J151" s="342">
        <f t="shared" si="123"/>
        <v>70000</v>
      </c>
      <c r="K151" s="285"/>
      <c r="L151" s="285"/>
      <c r="M151" s="285"/>
      <c r="N151" s="285"/>
      <c r="O151" s="303">
        <f>K151+70000</f>
        <v>70000</v>
      </c>
      <c r="P151" s="342">
        <f t="shared" si="124"/>
        <v>70000</v>
      </c>
    </row>
    <row r="152" spans="1:18" s="278" customFormat="1" ht="93" thickTop="1" thickBot="1" x14ac:dyDescent="0.25">
      <c r="A152" s="343" t="s">
        <v>762</v>
      </c>
      <c r="B152" s="343" t="s">
        <v>760</v>
      </c>
      <c r="C152" s="343" t="s">
        <v>763</v>
      </c>
      <c r="D152" s="343" t="s">
        <v>761</v>
      </c>
      <c r="E152" s="342">
        <f t="shared" si="126"/>
        <v>0</v>
      </c>
      <c r="F152" s="285"/>
      <c r="G152" s="285"/>
      <c r="H152" s="285"/>
      <c r="I152" s="285"/>
      <c r="J152" s="342">
        <f t="shared" si="123"/>
        <v>63670</v>
      </c>
      <c r="K152" s="285"/>
      <c r="L152" s="285">
        <v>63670</v>
      </c>
      <c r="M152" s="285"/>
      <c r="N152" s="285"/>
      <c r="O152" s="303">
        <f>K152</f>
        <v>0</v>
      </c>
      <c r="P152" s="342">
        <f t="shared" si="124"/>
        <v>63670</v>
      </c>
    </row>
    <row r="153" spans="1:18" s="278" customFormat="1" ht="93" thickTop="1" thickBot="1" x14ac:dyDescent="0.25">
      <c r="A153" s="343" t="s">
        <v>370</v>
      </c>
      <c r="B153" s="343" t="s">
        <v>371</v>
      </c>
      <c r="C153" s="343" t="s">
        <v>66</v>
      </c>
      <c r="D153" s="343" t="s">
        <v>656</v>
      </c>
      <c r="E153" s="342">
        <v>0</v>
      </c>
      <c r="F153" s="285"/>
      <c r="G153" s="285"/>
      <c r="H153" s="285"/>
      <c r="I153" s="285"/>
      <c r="J153" s="342">
        <f t="shared" si="123"/>
        <v>94187.28</v>
      </c>
      <c r="K153" s="342"/>
      <c r="L153" s="285">
        <f>(30000)+64187.28</f>
        <v>94187.28</v>
      </c>
      <c r="M153" s="285"/>
      <c r="N153" s="285"/>
      <c r="O153" s="303">
        <f>K153</f>
        <v>0</v>
      </c>
      <c r="P153" s="342">
        <f t="shared" si="124"/>
        <v>94187.28</v>
      </c>
    </row>
    <row r="154" spans="1:18" s="162" customFormat="1" ht="226.5" thickTop="1" thickBot="1" x14ac:dyDescent="0.25">
      <c r="A154" s="413" t="s">
        <v>204</v>
      </c>
      <c r="B154" s="413"/>
      <c r="C154" s="413"/>
      <c r="D154" s="414" t="s">
        <v>435</v>
      </c>
      <c r="E154" s="415">
        <f>E155</f>
        <v>3973521</v>
      </c>
      <c r="F154" s="416">
        <f t="shared" ref="F154" si="127">F155</f>
        <v>3973521</v>
      </c>
      <c r="G154" s="416">
        <f t="shared" ref="G154" si="128">G155</f>
        <v>2961000</v>
      </c>
      <c r="H154" s="416">
        <f>H155</f>
        <v>60000</v>
      </c>
      <c r="I154" s="415">
        <f t="shared" ref="I154" si="129">I155</f>
        <v>0</v>
      </c>
      <c r="J154" s="415">
        <f>J155</f>
        <v>300000</v>
      </c>
      <c r="K154" s="416">
        <f>K155</f>
        <v>300000</v>
      </c>
      <c r="L154" s="416">
        <f>L155</f>
        <v>0</v>
      </c>
      <c r="M154" s="416">
        <f t="shared" ref="M154" si="130">M155</f>
        <v>0</v>
      </c>
      <c r="N154" s="415">
        <f>N155</f>
        <v>0</v>
      </c>
      <c r="O154" s="415">
        <f>O155</f>
        <v>300000</v>
      </c>
      <c r="P154" s="416">
        <f t="shared" ref="P154" si="131">P155</f>
        <v>4273521</v>
      </c>
    </row>
    <row r="155" spans="1:18" s="162" customFormat="1" ht="271.5" thickTop="1" thickBot="1" x14ac:dyDescent="0.25">
      <c r="A155" s="417" t="s">
        <v>205</v>
      </c>
      <c r="B155" s="417"/>
      <c r="C155" s="417"/>
      <c r="D155" s="418" t="s">
        <v>436</v>
      </c>
      <c r="E155" s="419">
        <f>SUM(E156:E158)</f>
        <v>3973521</v>
      </c>
      <c r="F155" s="419">
        <f t="shared" ref="F155:N155" si="132">SUM(F156:F158)</f>
        <v>3973521</v>
      </c>
      <c r="G155" s="419">
        <f t="shared" si="132"/>
        <v>2961000</v>
      </c>
      <c r="H155" s="419">
        <f t="shared" si="132"/>
        <v>60000</v>
      </c>
      <c r="I155" s="419">
        <f t="shared" si="132"/>
        <v>0</v>
      </c>
      <c r="J155" s="419">
        <f>L155+O155</f>
        <v>300000</v>
      </c>
      <c r="K155" s="419">
        <f t="shared" si="132"/>
        <v>300000</v>
      </c>
      <c r="L155" s="419">
        <f t="shared" si="132"/>
        <v>0</v>
      </c>
      <c r="M155" s="419">
        <f t="shared" si="132"/>
        <v>0</v>
      </c>
      <c r="N155" s="419">
        <f t="shared" si="132"/>
        <v>0</v>
      </c>
      <c r="O155" s="419">
        <f>SUM(O156:O158)</f>
        <v>300000</v>
      </c>
      <c r="P155" s="420">
        <f>E155+J155</f>
        <v>4273521</v>
      </c>
      <c r="Q155" s="167" t="b">
        <f>P155=P157+P158+P156</f>
        <v>1</v>
      </c>
      <c r="R155" s="167" t="b">
        <f>K155='d5'!J212</f>
        <v>1</v>
      </c>
    </row>
    <row r="156" spans="1:18" s="162" customFormat="1" ht="230.25" thickTop="1" thickBot="1" x14ac:dyDescent="0.25">
      <c r="A156" s="343" t="s">
        <v>522</v>
      </c>
      <c r="B156" s="343" t="s">
        <v>288</v>
      </c>
      <c r="C156" s="343" t="s">
        <v>286</v>
      </c>
      <c r="D156" s="343" t="s">
        <v>287</v>
      </c>
      <c r="E156" s="342">
        <f>F156</f>
        <v>3973521</v>
      </c>
      <c r="F156" s="285">
        <f>(4174521)-201000</f>
        <v>3973521</v>
      </c>
      <c r="G156" s="285">
        <f>3150000-189000</f>
        <v>2961000</v>
      </c>
      <c r="H156" s="285">
        <f>43000+1200+15800</f>
        <v>60000</v>
      </c>
      <c r="I156" s="285"/>
      <c r="J156" s="342">
        <f>L156+O156</f>
        <v>0</v>
      </c>
      <c r="K156" s="285"/>
      <c r="L156" s="285"/>
      <c r="M156" s="285"/>
      <c r="N156" s="285"/>
      <c r="O156" s="303">
        <f>K156</f>
        <v>0</v>
      </c>
      <c r="P156" s="342">
        <f>E156+J156</f>
        <v>3973521</v>
      </c>
      <c r="Q156" s="167"/>
      <c r="R156" s="167"/>
    </row>
    <row r="157" spans="1:18" s="162" customFormat="1" ht="93" thickTop="1" thickBot="1" x14ac:dyDescent="0.25">
      <c r="A157" s="343" t="s">
        <v>365</v>
      </c>
      <c r="B157" s="343" t="s">
        <v>366</v>
      </c>
      <c r="C157" s="343" t="s">
        <v>367</v>
      </c>
      <c r="D157" s="343" t="s">
        <v>624</v>
      </c>
      <c r="E157" s="342">
        <f>F157</f>
        <v>0</v>
      </c>
      <c r="F157" s="285"/>
      <c r="G157" s="285"/>
      <c r="H157" s="285"/>
      <c r="I157" s="285"/>
      <c r="J157" s="342">
        <f>L157+O157</f>
        <v>250000</v>
      </c>
      <c r="K157" s="285">
        <v>250000</v>
      </c>
      <c r="L157" s="285"/>
      <c r="M157" s="285"/>
      <c r="N157" s="285"/>
      <c r="O157" s="303">
        <f>K157</f>
        <v>250000</v>
      </c>
      <c r="P157" s="342">
        <f>E157+J157</f>
        <v>250000</v>
      </c>
    </row>
    <row r="158" spans="1:18" s="162" customFormat="1" ht="138.75" thickTop="1" thickBot="1" x14ac:dyDescent="0.25">
      <c r="A158" s="343" t="s">
        <v>451</v>
      </c>
      <c r="B158" s="343" t="s">
        <v>452</v>
      </c>
      <c r="C158" s="343" t="s">
        <v>212</v>
      </c>
      <c r="D158" s="343" t="s">
        <v>453</v>
      </c>
      <c r="E158" s="342">
        <f>F158</f>
        <v>0</v>
      </c>
      <c r="F158" s="285"/>
      <c r="G158" s="285"/>
      <c r="H158" s="285"/>
      <c r="I158" s="285"/>
      <c r="J158" s="342">
        <f>L158+O158</f>
        <v>50000</v>
      </c>
      <c r="K158" s="285">
        <v>50000</v>
      </c>
      <c r="L158" s="285"/>
      <c r="M158" s="285"/>
      <c r="N158" s="285"/>
      <c r="O158" s="303">
        <f>K158</f>
        <v>50000</v>
      </c>
      <c r="P158" s="342">
        <f>E158+J158</f>
        <v>50000</v>
      </c>
    </row>
    <row r="159" spans="1:18" s="162" customFormat="1" ht="136.5" thickTop="1" thickBot="1" x14ac:dyDescent="0.25">
      <c r="A159" s="413" t="s">
        <v>210</v>
      </c>
      <c r="B159" s="413"/>
      <c r="C159" s="413"/>
      <c r="D159" s="414" t="s">
        <v>34</v>
      </c>
      <c r="E159" s="415">
        <f>E160</f>
        <v>80847254</v>
      </c>
      <c r="F159" s="416">
        <f t="shared" ref="F159" si="133">F160</f>
        <v>80847254</v>
      </c>
      <c r="G159" s="416">
        <f t="shared" ref="G159" si="134">G160</f>
        <v>5838800</v>
      </c>
      <c r="H159" s="416">
        <f>H160</f>
        <v>127300</v>
      </c>
      <c r="I159" s="415">
        <f t="shared" ref="I159" si="135">I160</f>
        <v>0</v>
      </c>
      <c r="J159" s="415">
        <f>J160</f>
        <v>0</v>
      </c>
      <c r="K159" s="416">
        <f>K160</f>
        <v>0</v>
      </c>
      <c r="L159" s="416">
        <f>L160</f>
        <v>0</v>
      </c>
      <c r="M159" s="416">
        <f t="shared" ref="M159" si="136">M160</f>
        <v>0</v>
      </c>
      <c r="N159" s="415">
        <f>N160</f>
        <v>0</v>
      </c>
      <c r="O159" s="415">
        <f>O160</f>
        <v>0</v>
      </c>
      <c r="P159" s="416">
        <f t="shared" ref="P159" si="137">P160</f>
        <v>80847254</v>
      </c>
    </row>
    <row r="160" spans="1:18" s="162" customFormat="1" ht="136.5" thickTop="1" thickBot="1" x14ac:dyDescent="0.25">
      <c r="A160" s="417" t="s">
        <v>211</v>
      </c>
      <c r="B160" s="417"/>
      <c r="C160" s="417"/>
      <c r="D160" s="418" t="s">
        <v>52</v>
      </c>
      <c r="E160" s="419">
        <f>SUM(E161:E164)</f>
        <v>80847254</v>
      </c>
      <c r="F160" s="419">
        <f t="shared" ref="F160:N160" si="138">SUM(F161:F164)</f>
        <v>80847254</v>
      </c>
      <c r="G160" s="419">
        <f t="shared" si="138"/>
        <v>5838800</v>
      </c>
      <c r="H160" s="419">
        <f t="shared" si="138"/>
        <v>127300</v>
      </c>
      <c r="I160" s="419">
        <f t="shared" si="138"/>
        <v>0</v>
      </c>
      <c r="J160" s="419">
        <f>L160+O160</f>
        <v>0</v>
      </c>
      <c r="K160" s="419">
        <f>SUM(K161:K164)</f>
        <v>0</v>
      </c>
      <c r="L160" s="419">
        <f t="shared" si="138"/>
        <v>0</v>
      </c>
      <c r="M160" s="419">
        <f t="shared" si="138"/>
        <v>0</v>
      </c>
      <c r="N160" s="419">
        <f t="shared" si="138"/>
        <v>0</v>
      </c>
      <c r="O160" s="419">
        <f>SUM(O161:O164)</f>
        <v>0</v>
      </c>
      <c r="P160" s="420">
        <f>E160+J160</f>
        <v>80847254</v>
      </c>
      <c r="Q160" s="167" t="b">
        <f>P160=P162+P163+P164+P161</f>
        <v>1</v>
      </c>
      <c r="R160" s="168"/>
    </row>
    <row r="161" spans="1:18" s="162" customFormat="1" ht="230.25" thickTop="1" thickBot="1" x14ac:dyDescent="0.25">
      <c r="A161" s="343" t="s">
        <v>524</v>
      </c>
      <c r="B161" s="343" t="s">
        <v>288</v>
      </c>
      <c r="C161" s="343" t="s">
        <v>286</v>
      </c>
      <c r="D161" s="343" t="s">
        <v>287</v>
      </c>
      <c r="E161" s="342">
        <f>F161</f>
        <v>7411300</v>
      </c>
      <c r="F161" s="285">
        <f>(7922300)-511000</f>
        <v>7411300</v>
      </c>
      <c r="G161" s="285">
        <f>(6138800)-300000</f>
        <v>5838800</v>
      </c>
      <c r="H161" s="285">
        <f>(70000+2000+50000+3300)+2000</f>
        <v>127300</v>
      </c>
      <c r="I161" s="285"/>
      <c r="J161" s="342">
        <f>L161+O161</f>
        <v>0</v>
      </c>
      <c r="K161" s="285"/>
      <c r="L161" s="285"/>
      <c r="M161" s="285"/>
      <c r="N161" s="285"/>
      <c r="O161" s="303">
        <f>K161</f>
        <v>0</v>
      </c>
      <c r="P161" s="342">
        <f>E161+J161</f>
        <v>7411300</v>
      </c>
      <c r="Q161" s="167"/>
      <c r="R161" s="168"/>
    </row>
    <row r="162" spans="1:18" s="162" customFormat="1" ht="48" thickTop="1" thickBot="1" x14ac:dyDescent="0.25">
      <c r="A162" s="286">
        <v>3718600</v>
      </c>
      <c r="B162" s="286">
        <v>8600</v>
      </c>
      <c r="C162" s="343" t="s">
        <v>445</v>
      </c>
      <c r="D162" s="286" t="s">
        <v>606</v>
      </c>
      <c r="E162" s="342">
        <f>F162</f>
        <v>1176154</v>
      </c>
      <c r="F162" s="285">
        <f>(1176154)</f>
        <v>1176154</v>
      </c>
      <c r="G162" s="285"/>
      <c r="H162" s="285"/>
      <c r="I162" s="285"/>
      <c r="J162" s="342">
        <f>L162+O162</f>
        <v>0</v>
      </c>
      <c r="K162" s="285"/>
      <c r="L162" s="285"/>
      <c r="M162" s="285"/>
      <c r="N162" s="285"/>
      <c r="O162" s="303">
        <f>K162</f>
        <v>0</v>
      </c>
      <c r="P162" s="342">
        <f>E162+J162</f>
        <v>1176154</v>
      </c>
    </row>
    <row r="163" spans="1:18" s="162" customFormat="1" ht="48" thickTop="1" thickBot="1" x14ac:dyDescent="0.25">
      <c r="A163" s="286">
        <v>3718700</v>
      </c>
      <c r="B163" s="286">
        <v>8700</v>
      </c>
      <c r="C163" s="343" t="s">
        <v>54</v>
      </c>
      <c r="D163" s="287" t="s">
        <v>605</v>
      </c>
      <c r="E163" s="342">
        <f>F163</f>
        <v>1000000</v>
      </c>
      <c r="F163" s="285">
        <f>3000000-2000000</f>
        <v>1000000</v>
      </c>
      <c r="G163" s="285"/>
      <c r="H163" s="285"/>
      <c r="I163" s="285"/>
      <c r="J163" s="342">
        <f>L163+O163</f>
        <v>0</v>
      </c>
      <c r="K163" s="285"/>
      <c r="L163" s="285"/>
      <c r="M163" s="285"/>
      <c r="N163" s="285"/>
      <c r="O163" s="303">
        <f>K163</f>
        <v>0</v>
      </c>
      <c r="P163" s="342">
        <f>E163+J163</f>
        <v>1000000</v>
      </c>
    </row>
    <row r="164" spans="1:18" s="162" customFormat="1" ht="48" thickTop="1" thickBot="1" x14ac:dyDescent="0.25">
      <c r="A164" s="286">
        <v>3719110</v>
      </c>
      <c r="B164" s="286">
        <v>9110</v>
      </c>
      <c r="C164" s="343" t="s">
        <v>55</v>
      </c>
      <c r="D164" s="287" t="s">
        <v>604</v>
      </c>
      <c r="E164" s="342">
        <f>F164</f>
        <v>71259800</v>
      </c>
      <c r="F164" s="285">
        <v>71259800</v>
      </c>
      <c r="G164" s="285"/>
      <c r="H164" s="285"/>
      <c r="I164" s="285"/>
      <c r="J164" s="342">
        <f>L164+O164</f>
        <v>0</v>
      </c>
      <c r="K164" s="285"/>
      <c r="L164" s="285"/>
      <c r="M164" s="285"/>
      <c r="N164" s="285"/>
      <c r="O164" s="303">
        <f>K164</f>
        <v>0</v>
      </c>
      <c r="P164" s="342">
        <f>E164+J164</f>
        <v>71259800</v>
      </c>
    </row>
    <row r="165" spans="1:18" s="162" customFormat="1" ht="159.75" customHeight="1" thickTop="1" thickBot="1" x14ac:dyDescent="0.25">
      <c r="A165" s="228" t="s">
        <v>473</v>
      </c>
      <c r="B165" s="228" t="s">
        <v>473</v>
      </c>
      <c r="C165" s="228" t="s">
        <v>473</v>
      </c>
      <c r="D165" s="229" t="s">
        <v>483</v>
      </c>
      <c r="E165" s="230">
        <f>E17+E29+E88+E42+E56+E79+E103+E123+E133+E160+E142+E148+E155+E137</f>
        <v>2192565253.6500001</v>
      </c>
      <c r="F165" s="230">
        <f>F17+F29+F88+F42+F55+F79+F103+F123+F133+F160+F142+F148+F155+F137</f>
        <v>2192565253.6500001</v>
      </c>
      <c r="G165" s="230">
        <f t="shared" ref="G165:O165" si="139">G17+G29+G88+G42+G56+G79+G103+G123+G133+G160+G142+G148+G155+G137</f>
        <v>1049449190.54</v>
      </c>
      <c r="H165" s="230">
        <f t="shared" si="139"/>
        <v>77569592</v>
      </c>
      <c r="I165" s="230">
        <f t="shared" si="139"/>
        <v>0</v>
      </c>
      <c r="J165" s="230">
        <f t="shared" si="139"/>
        <v>466047589.87</v>
      </c>
      <c r="K165" s="230">
        <f t="shared" si="139"/>
        <v>315465413.88999999</v>
      </c>
      <c r="L165" s="230">
        <f t="shared" si="139"/>
        <v>147903771.28</v>
      </c>
      <c r="M165" s="230">
        <f t="shared" si="139"/>
        <v>45850596</v>
      </c>
      <c r="N165" s="230">
        <f t="shared" si="139"/>
        <v>9422692</v>
      </c>
      <c r="O165" s="230">
        <f t="shared" si="139"/>
        <v>318143818.59000003</v>
      </c>
      <c r="P165" s="230">
        <f>P17+P29+P88+P42+P55+P79+P103+P123+P133+P160+P142+P148+P155+P137</f>
        <v>2658612843.5200005</v>
      </c>
      <c r="Q165" s="185" t="b">
        <f>K165='d5'!J219</f>
        <v>1</v>
      </c>
      <c r="R165" s="185"/>
    </row>
    <row r="166" spans="1:18" s="162" customFormat="1" ht="46.5" thickTop="1" x14ac:dyDescent="0.2">
      <c r="A166" s="532" t="s">
        <v>713</v>
      </c>
      <c r="B166" s="533"/>
      <c r="C166" s="533"/>
      <c r="D166" s="533"/>
      <c r="E166" s="533"/>
      <c r="F166" s="533"/>
      <c r="G166" s="533"/>
      <c r="H166" s="533"/>
      <c r="I166" s="533"/>
      <c r="J166" s="533"/>
      <c r="K166" s="533"/>
      <c r="L166" s="533"/>
      <c r="M166" s="533"/>
      <c r="N166" s="533"/>
      <c r="O166" s="533"/>
      <c r="P166" s="533"/>
      <c r="Q166" s="172"/>
    </row>
    <row r="167" spans="1:18" s="162" customFormat="1" ht="60.75" hidden="1" x14ac:dyDescent="0.2">
      <c r="A167" s="173"/>
      <c r="B167" s="174"/>
      <c r="C167" s="174"/>
      <c r="D167" s="174"/>
      <c r="E167" s="204">
        <f>F167</f>
        <v>2192565253.6500001</v>
      </c>
      <c r="F167" s="204">
        <f>(2308391728-23685400-6806900)-(86458928.33+169570.42)+1294324.4</f>
        <v>2192565253.6500001</v>
      </c>
      <c r="G167" s="204">
        <f>(1088289772)-1681100-36200331.96-109985+303455-1135200-17419.5</f>
        <v>1049449190.54</v>
      </c>
      <c r="H167" s="204">
        <f>(88306031)+5000-24439-10632000-50000-35000</f>
        <v>77569592</v>
      </c>
      <c r="I167" s="204"/>
      <c r="J167" s="204">
        <f>418238704+44623210.27-520000+5000000-1294324.4</f>
        <v>466047589.87</v>
      </c>
      <c r="K167" s="204">
        <f>266899770+44623210.27-(-1413866.82+149766.82)-19378.7-465963.28-22000-520000+5000000-1294324.4</f>
        <v>315465413.89000005</v>
      </c>
      <c r="L167" s="204">
        <f>(149028014-300000)+22000+417857.28+(-1413866.82+149766.82)</f>
        <v>147903771.28</v>
      </c>
      <c r="M167" s="204">
        <f>45850596</f>
        <v>45850596</v>
      </c>
      <c r="N167" s="204">
        <v>9422692</v>
      </c>
      <c r="O167" s="204">
        <f>(269210690+300000)+44623210.27-520000-465963.28+48106-(-1413866.82+149766.82)-22000+5000000-1294324.4</f>
        <v>318143818.59000003</v>
      </c>
      <c r="P167" s="204">
        <f>(2726630432-23685400-6806900)-41835718.06-169570.42-520000+5000000</f>
        <v>2658612843.52</v>
      </c>
      <c r="Q167" s="185" t="b">
        <f>E167+J167=P167</f>
        <v>1</v>
      </c>
      <c r="R167" s="172"/>
    </row>
    <row r="168" spans="1:18" s="162" customFormat="1" ht="45.75" x14ac:dyDescent="0.2">
      <c r="A168" s="173"/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2"/>
    </row>
    <row r="169" spans="1:18" s="162" customFormat="1" ht="45.75" x14ac:dyDescent="0.65">
      <c r="A169" s="175"/>
      <c r="B169" s="175"/>
      <c r="C169" s="175"/>
      <c r="D169" s="531" t="s">
        <v>925</v>
      </c>
      <c r="E169" s="531"/>
      <c r="F169" s="531"/>
      <c r="G169" s="531"/>
      <c r="H169" s="531"/>
      <c r="I169" s="531"/>
      <c r="J169" s="531"/>
      <c r="K169" s="531"/>
      <c r="L169" s="531"/>
      <c r="M169" s="531"/>
      <c r="N169" s="531"/>
      <c r="O169" s="531"/>
      <c r="P169" s="531"/>
      <c r="Q169" s="176"/>
    </row>
    <row r="170" spans="1:18" s="162" customFormat="1" ht="45.75" x14ac:dyDescent="0.2">
      <c r="A170" s="177"/>
      <c r="B170" s="177"/>
      <c r="C170" s="177"/>
      <c r="D170" s="177"/>
      <c r="E170" s="178"/>
      <c r="F170" s="179"/>
      <c r="G170" s="177"/>
      <c r="H170" s="177"/>
      <c r="I170" s="177"/>
      <c r="J170" s="180"/>
      <c r="K170" s="180"/>
      <c r="L170" s="177"/>
      <c r="M170" s="177"/>
      <c r="N170" s="177"/>
      <c r="O170" s="181"/>
      <c r="P170" s="182"/>
    </row>
    <row r="171" spans="1:18" s="162" customFormat="1" ht="45.75" x14ac:dyDescent="0.65">
      <c r="A171" s="177"/>
      <c r="B171" s="177"/>
      <c r="C171" s="177"/>
      <c r="D171" s="531"/>
      <c r="E171" s="531"/>
      <c r="F171" s="531"/>
      <c r="G171" s="531"/>
      <c r="H171" s="531"/>
      <c r="I171" s="531"/>
      <c r="J171" s="531"/>
      <c r="K171" s="531"/>
      <c r="L171" s="531"/>
      <c r="M171" s="531"/>
      <c r="N171" s="531"/>
      <c r="O171" s="531"/>
      <c r="P171" s="531"/>
      <c r="Q171" s="165"/>
    </row>
    <row r="172" spans="1:18" s="162" customFormat="1" x14ac:dyDescent="0.2">
      <c r="A172" s="177"/>
      <c r="B172" s="177"/>
      <c r="C172" s="177"/>
      <c r="D172" s="177"/>
      <c r="E172" s="183"/>
      <c r="F172" s="179"/>
      <c r="G172" s="177"/>
      <c r="H172" s="177"/>
      <c r="I172" s="177"/>
      <c r="J172" s="183"/>
      <c r="K172" s="183"/>
      <c r="L172" s="177"/>
      <c r="M172" s="177"/>
      <c r="N172" s="177"/>
      <c r="O172" s="177"/>
      <c r="P172" s="184"/>
    </row>
    <row r="173" spans="1:18" s="162" customFormat="1" x14ac:dyDescent="0.2">
      <c r="A173" s="177"/>
      <c r="B173" s="177"/>
      <c r="C173" s="177"/>
      <c r="D173" s="177"/>
      <c r="E173" s="183"/>
      <c r="F173" s="179"/>
      <c r="G173" s="177"/>
      <c r="H173" s="177"/>
      <c r="I173" s="177"/>
      <c r="J173" s="183"/>
      <c r="K173" s="183"/>
      <c r="L173" s="177"/>
      <c r="M173" s="177"/>
      <c r="N173" s="177"/>
      <c r="O173" s="177"/>
      <c r="P173" s="184"/>
    </row>
    <row r="174" spans="1:18" s="162" customFormat="1" ht="60.75" x14ac:dyDescent="0.2">
      <c r="A174" s="177"/>
      <c r="B174" s="177"/>
      <c r="C174" s="177"/>
      <c r="D174" s="177"/>
      <c r="E174" s="185" t="b">
        <f>E167=E165</f>
        <v>1</v>
      </c>
      <c r="F174" s="185" t="b">
        <f>F167=F165</f>
        <v>1</v>
      </c>
      <c r="G174" s="185" t="b">
        <f>G167=G165</f>
        <v>1</v>
      </c>
      <c r="H174" s="185" t="b">
        <f t="shared" ref="H174:O174" si="140">H167=H165</f>
        <v>1</v>
      </c>
      <c r="I174" s="185" t="b">
        <f>I167=I165</f>
        <v>1</v>
      </c>
      <c r="J174" s="185" t="b">
        <f>J167=J165</f>
        <v>1</v>
      </c>
      <c r="K174" s="185" t="b">
        <f>K167=K165</f>
        <v>1</v>
      </c>
      <c r="L174" s="185" t="b">
        <f t="shared" si="140"/>
        <v>1</v>
      </c>
      <c r="M174" s="185" t="b">
        <f t="shared" si="140"/>
        <v>1</v>
      </c>
      <c r="N174" s="185" t="b">
        <f t="shared" si="140"/>
        <v>1</v>
      </c>
      <c r="O174" s="185" t="b">
        <f t="shared" si="140"/>
        <v>1</v>
      </c>
      <c r="P174" s="185" t="b">
        <f>P167=P165</f>
        <v>1</v>
      </c>
    </row>
    <row r="175" spans="1:18" s="162" customFormat="1" ht="60.75" x14ac:dyDescent="0.2">
      <c r="A175" s="177"/>
      <c r="B175" s="177"/>
      <c r="C175" s="177"/>
      <c r="D175" s="177"/>
      <c r="E175" s="185" t="b">
        <f>E165=F165</f>
        <v>1</v>
      </c>
      <c r="F175" s="186">
        <f>F163/E165*100</f>
        <v>4.5608676792413969E-2</v>
      </c>
      <c r="G175" s="181" t="s">
        <v>389</v>
      </c>
      <c r="H175" s="177"/>
      <c r="I175" s="187"/>
      <c r="J175" s="185" t="b">
        <f>J167=L167+O167</f>
        <v>1</v>
      </c>
      <c r="K175" s="188"/>
      <c r="L175" s="185"/>
      <c r="M175" s="187"/>
      <c r="N175" s="187"/>
      <c r="O175" s="185"/>
      <c r="P175" s="185" t="b">
        <f>E165+J165=P165</f>
        <v>1</v>
      </c>
    </row>
    <row r="176" spans="1:18" s="162" customFormat="1" x14ac:dyDescent="0.2">
      <c r="A176" s="177"/>
      <c r="B176" s="177"/>
      <c r="C176" s="177"/>
      <c r="D176" s="177"/>
      <c r="E176" s="189"/>
      <c r="F176" s="190"/>
      <c r="G176" s="189"/>
      <c r="H176" s="189"/>
      <c r="I176" s="189"/>
      <c r="J176" s="183"/>
      <c r="K176" s="183"/>
      <c r="L176" s="177"/>
      <c r="M176" s="177"/>
      <c r="N176" s="177"/>
      <c r="O176" s="177"/>
      <c r="P176" s="184"/>
    </row>
    <row r="177" spans="1:18" s="162" customFormat="1" ht="45.75" x14ac:dyDescent="0.2">
      <c r="D177" s="191"/>
      <c r="F177" s="181">
        <f>F163/P165*100</f>
        <v>3.7613599980808078E-2</v>
      </c>
      <c r="G177" s="181" t="s">
        <v>389</v>
      </c>
      <c r="H177" s="177"/>
      <c r="I177" s="191"/>
      <c r="J177" s="192"/>
      <c r="K177" s="192"/>
    </row>
    <row r="178" spans="1:18" s="162" customFormat="1" ht="60.75" x14ac:dyDescent="0.2">
      <c r="A178" s="177"/>
      <c r="B178" s="177"/>
      <c r="C178" s="177"/>
      <c r="D178" s="191"/>
      <c r="E178" s="192"/>
      <c r="F178" s="210"/>
      <c r="G178" s="185"/>
      <c r="H178" s="177"/>
      <c r="I178" s="191"/>
      <c r="J178" s="192"/>
      <c r="K178" s="192"/>
      <c r="L178" s="333"/>
      <c r="M178" s="177"/>
      <c r="N178" s="177"/>
      <c r="O178" s="177"/>
      <c r="P178" s="185"/>
      <c r="Q178" s="169"/>
      <c r="R178" s="185"/>
    </row>
    <row r="179" spans="1:18" s="162" customFormat="1" ht="60.75" x14ac:dyDescent="0.2">
      <c r="D179" s="191"/>
      <c r="E179" s="205"/>
      <c r="F179" s="205"/>
      <c r="G179" s="205"/>
      <c r="H179" s="205"/>
      <c r="I179" s="332"/>
      <c r="J179" s="205"/>
      <c r="K179" s="205"/>
      <c r="L179" s="205"/>
      <c r="M179" s="205"/>
      <c r="N179" s="205"/>
      <c r="O179" s="205"/>
      <c r="P179" s="205"/>
      <c r="Q179" s="169"/>
      <c r="R179" s="185"/>
    </row>
    <row r="180" spans="1:18" s="162" customFormat="1" ht="60.75" x14ac:dyDescent="0.2">
      <c r="A180" s="177"/>
      <c r="B180" s="177"/>
      <c r="C180" s="177"/>
      <c r="D180" s="191"/>
      <c r="E180" s="192"/>
      <c r="F180" s="193"/>
      <c r="G180" s="177"/>
      <c r="H180" s="177"/>
      <c r="I180" s="177"/>
      <c r="J180" s="184"/>
      <c r="K180" s="184"/>
      <c r="L180" s="177"/>
      <c r="M180" s="177"/>
      <c r="N180" s="177"/>
      <c r="O180" s="185"/>
      <c r="P180" s="185"/>
    </row>
    <row r="181" spans="1:18" ht="60.75" x14ac:dyDescent="0.2">
      <c r="A181"/>
      <c r="B181"/>
      <c r="C181"/>
      <c r="D181" s="9"/>
      <c r="E181" s="111"/>
      <c r="F181" s="105"/>
      <c r="G181" s="333"/>
      <c r="J181" s="4"/>
      <c r="K181" s="4"/>
      <c r="L181"/>
      <c r="M181"/>
      <c r="N181"/>
      <c r="O181"/>
      <c r="P181" s="96"/>
    </row>
    <row r="182" spans="1:18" ht="62.25" x14ac:dyDescent="0.8">
      <c r="A182"/>
      <c r="B182"/>
      <c r="C182"/>
      <c r="D182"/>
      <c r="E182" s="14"/>
      <c r="F182" s="105"/>
      <c r="J182" s="4"/>
      <c r="K182" s="4"/>
      <c r="L182"/>
      <c r="M182"/>
      <c r="N182"/>
      <c r="O182"/>
      <c r="P182" s="116"/>
    </row>
    <row r="183" spans="1:18" ht="45.75" x14ac:dyDescent="0.2">
      <c r="E183" s="335">
        <f>E163/E165</f>
        <v>4.5608676792413967E-4</v>
      </c>
      <c r="F183" s="135"/>
    </row>
    <row r="184" spans="1:18" ht="45.75" x14ac:dyDescent="0.2">
      <c r="A184"/>
      <c r="B184"/>
      <c r="C184"/>
      <c r="D184"/>
      <c r="E184" s="14"/>
      <c r="F184" s="105"/>
      <c r="L184"/>
      <c r="M184"/>
      <c r="N184"/>
      <c r="O184"/>
      <c r="P184"/>
    </row>
    <row r="185" spans="1:18" ht="45.75" x14ac:dyDescent="0.2">
      <c r="E185" s="15"/>
      <c r="F185" s="135"/>
    </row>
    <row r="186" spans="1:18" ht="45.75" x14ac:dyDescent="0.2">
      <c r="E186" s="15"/>
      <c r="F186" s="135"/>
    </row>
    <row r="187" spans="1:18" ht="45.75" x14ac:dyDescent="0.2">
      <c r="E187" s="15"/>
      <c r="F187" s="135"/>
    </row>
    <row r="188" spans="1:18" ht="45.75" x14ac:dyDescent="0.2">
      <c r="A188"/>
      <c r="B188"/>
      <c r="C188"/>
      <c r="D188"/>
      <c r="E188" s="15"/>
      <c r="F188" s="135"/>
      <c r="G188"/>
      <c r="H188"/>
      <c r="I188"/>
      <c r="J188"/>
      <c r="K188"/>
      <c r="L188"/>
      <c r="M188"/>
      <c r="N188"/>
      <c r="O188"/>
      <c r="P188"/>
    </row>
    <row r="189" spans="1:18" ht="45.75" x14ac:dyDescent="0.2">
      <c r="A189"/>
      <c r="B189"/>
      <c r="C189"/>
      <c r="D189"/>
      <c r="E189" s="15"/>
      <c r="F189" s="135"/>
      <c r="G189"/>
      <c r="H189"/>
      <c r="I189"/>
      <c r="J189"/>
      <c r="K189"/>
      <c r="L189"/>
      <c r="M189"/>
      <c r="N189"/>
      <c r="O189"/>
      <c r="P189"/>
    </row>
    <row r="190" spans="1:18" ht="45.75" x14ac:dyDescent="0.2">
      <c r="A190"/>
      <c r="B190"/>
      <c r="C190"/>
      <c r="D190"/>
      <c r="E190" s="15"/>
      <c r="F190" s="135"/>
      <c r="G190"/>
      <c r="H190"/>
      <c r="I190"/>
      <c r="J190"/>
      <c r="K190"/>
      <c r="L190"/>
      <c r="M190"/>
      <c r="N190"/>
      <c r="O190"/>
      <c r="P190"/>
    </row>
    <row r="191" spans="1:18" ht="45.75" x14ac:dyDescent="0.2">
      <c r="A191"/>
      <c r="B191"/>
      <c r="C191"/>
      <c r="D191"/>
      <c r="E191" s="15"/>
      <c r="F191" s="135"/>
      <c r="G191"/>
      <c r="H191"/>
      <c r="I191"/>
      <c r="J191"/>
      <c r="K191"/>
      <c r="L191"/>
      <c r="M191"/>
      <c r="N191"/>
      <c r="O191"/>
      <c r="P191"/>
    </row>
  </sheetData>
  <mergeCells count="71">
    <mergeCell ref="O118:O119"/>
    <mergeCell ref="F22:F23"/>
    <mergeCell ref="G22:G23"/>
    <mergeCell ref="H22:H23"/>
    <mergeCell ref="D171:P171"/>
    <mergeCell ref="D169:P169"/>
    <mergeCell ref="A166:P166"/>
    <mergeCell ref="E76:E77"/>
    <mergeCell ref="F76:F77"/>
    <mergeCell ref="M76:M77"/>
    <mergeCell ref="N76:N77"/>
    <mergeCell ref="P76:P77"/>
    <mergeCell ref="G76:G77"/>
    <mergeCell ref="O76:O77"/>
    <mergeCell ref="P118:P119"/>
    <mergeCell ref="A118:A119"/>
    <mergeCell ref="B118:B119"/>
    <mergeCell ref="C118:C119"/>
    <mergeCell ref="E118:E119"/>
    <mergeCell ref="F118:F119"/>
    <mergeCell ref="K76:K77"/>
    <mergeCell ref="G118:G119"/>
    <mergeCell ref="H118:H119"/>
    <mergeCell ref="I118:I119"/>
    <mergeCell ref="I76:I77"/>
    <mergeCell ref="B22:B23"/>
    <mergeCell ref="C22:C23"/>
    <mergeCell ref="H76:H77"/>
    <mergeCell ref="C76:C77"/>
    <mergeCell ref="A76:A77"/>
    <mergeCell ref="B76:B77"/>
    <mergeCell ref="A22:A23"/>
    <mergeCell ref="P22:P23"/>
    <mergeCell ref="M22:M23"/>
    <mergeCell ref="N22:N23"/>
    <mergeCell ref="O22:O23"/>
    <mergeCell ref="L22:L23"/>
    <mergeCell ref="L118:L119"/>
    <mergeCell ref="M118:M119"/>
    <mergeCell ref="L76:L77"/>
    <mergeCell ref="N118:N119"/>
    <mergeCell ref="J118:J119"/>
    <mergeCell ref="K118:K119"/>
    <mergeCell ref="J76:J77"/>
    <mergeCell ref="N2:Q2"/>
    <mergeCell ref="N3:Q3"/>
    <mergeCell ref="O4:P4"/>
    <mergeCell ref="P12:P14"/>
    <mergeCell ref="A6:P6"/>
    <mergeCell ref="E13:E14"/>
    <mergeCell ref="A12:A14"/>
    <mergeCell ref="A7:P7"/>
    <mergeCell ref="M13:N13"/>
    <mergeCell ref="B12:B14"/>
    <mergeCell ref="C12:C14"/>
    <mergeCell ref="E12:I12"/>
    <mergeCell ref="O13:O14"/>
    <mergeCell ref="A9:B9"/>
    <mergeCell ref="A10:B10"/>
    <mergeCell ref="J22:J23"/>
    <mergeCell ref="D12:D14"/>
    <mergeCell ref="K22:K23"/>
    <mergeCell ref="K13:K14"/>
    <mergeCell ref="J13:J14"/>
    <mergeCell ref="I22:I23"/>
    <mergeCell ref="I13:I14"/>
    <mergeCell ref="J12:O12"/>
    <mergeCell ref="L13:L14"/>
    <mergeCell ref="E22:E23"/>
    <mergeCell ref="G13:H13"/>
    <mergeCell ref="F13:F14"/>
  </mergeCells>
  <phoneticPr fontId="0" type="noConversion"/>
  <conditionalFormatting sqref="Q148:R14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161:R161 Q16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156 Q155:R155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160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142:R142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Q138:Q140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138:R140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137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13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143:R14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134:R135 Q133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15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133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fitToHeight="0" orientation="landscape" r:id="rId1"/>
  <headerFooter alignWithMargins="0">
    <oddFooter>&amp;C&amp;"Times New Roman Cyr,курсив"Сторінка &amp;P з &amp;N</oddFooter>
  </headerFooter>
  <rowBreaks count="2" manualBreakCount="2">
    <brk id="31" max="15" man="1"/>
    <brk id="53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2:R162"/>
  <sheetViews>
    <sheetView showGridLines="0" showZeros="0" view="pageBreakPreview" topLeftCell="D4" zoomScale="85" zoomScaleNormal="85" zoomScaleSheetLayoutView="85" workbookViewId="0">
      <selection activeCell="M2" sqref="M2:Q2"/>
    </sheetView>
  </sheetViews>
  <sheetFormatPr defaultColWidth="7.85546875" defaultRowHeight="12.75" x14ac:dyDescent="0.2"/>
  <cols>
    <col min="1" max="1" width="0" style="12" hidden="1" customWidth="1"/>
    <col min="2" max="2" width="13" style="74" customWidth="1"/>
    <col min="3" max="3" width="13.5703125" style="74" customWidth="1"/>
    <col min="4" max="4" width="15.28515625" style="74" customWidth="1"/>
    <col min="5" max="5" width="37" style="74" customWidth="1"/>
    <col min="6" max="6" width="10.5703125" style="74" customWidth="1"/>
    <col min="7" max="7" width="11.85546875" style="74" customWidth="1"/>
    <col min="8" max="8" width="13.28515625" style="74" customWidth="1"/>
    <col min="9" max="9" width="12.5703125" style="74" customWidth="1"/>
    <col min="10" max="10" width="12.140625" style="74" customWidth="1"/>
    <col min="11" max="11" width="18.140625" style="74" customWidth="1"/>
    <col min="12" max="12" width="13.5703125" style="74" customWidth="1"/>
    <col min="13" max="13" width="13" style="74" customWidth="1"/>
    <col min="14" max="14" width="11.42578125" style="74" customWidth="1"/>
    <col min="15" max="15" width="12.7109375" style="74" customWidth="1"/>
    <col min="16" max="16" width="12.5703125" style="74" customWidth="1"/>
    <col min="17" max="17" width="12.7109375" style="74" customWidth="1"/>
    <col min="18" max="18" width="10" style="74" bestFit="1" customWidth="1"/>
    <col min="19" max="16384" width="7.85546875" style="74"/>
  </cols>
  <sheetData>
    <row r="2" spans="1:18" ht="64.5" customHeight="1" x14ac:dyDescent="0.2">
      <c r="B2" s="12"/>
      <c r="C2" s="12"/>
      <c r="D2" s="12"/>
      <c r="M2" s="537" t="s">
        <v>935</v>
      </c>
      <c r="N2" s="537"/>
      <c r="O2" s="537"/>
      <c r="P2" s="537"/>
      <c r="Q2" s="537"/>
    </row>
    <row r="3" spans="1:18" ht="32.450000000000003" customHeight="1" x14ac:dyDescent="0.2">
      <c r="B3" s="540"/>
      <c r="C3" s="541"/>
      <c r="D3" s="12"/>
      <c r="E3" s="538" t="s">
        <v>585</v>
      </c>
      <c r="F3" s="538"/>
      <c r="G3" s="538"/>
      <c r="H3" s="538"/>
      <c r="I3" s="538"/>
      <c r="J3" s="538"/>
      <c r="K3" s="538"/>
      <c r="L3" s="538"/>
      <c r="M3" s="538"/>
      <c r="N3" s="76"/>
      <c r="O3" s="76"/>
      <c r="P3" s="76"/>
      <c r="Q3" s="76"/>
    </row>
    <row r="4" spans="1:18" ht="12" customHeight="1" x14ac:dyDescent="0.2">
      <c r="B4" s="542"/>
      <c r="C4" s="543"/>
      <c r="D4" s="78"/>
      <c r="E4" s="538"/>
      <c r="F4" s="538"/>
      <c r="G4" s="538"/>
      <c r="H4" s="538"/>
      <c r="I4" s="538"/>
      <c r="J4" s="538"/>
      <c r="K4" s="538"/>
      <c r="L4" s="538"/>
      <c r="M4" s="538"/>
      <c r="N4" s="12"/>
      <c r="O4" s="12"/>
      <c r="P4" s="12"/>
      <c r="Q4" s="79"/>
    </row>
    <row r="5" spans="1:18" s="219" customFormat="1" ht="12" customHeight="1" x14ac:dyDescent="0.2">
      <c r="A5" s="12"/>
      <c r="B5" s="544">
        <v>22201100000</v>
      </c>
      <c r="C5" s="545"/>
      <c r="D5" s="78"/>
      <c r="E5" s="220"/>
      <c r="F5" s="220"/>
      <c r="G5" s="220"/>
      <c r="H5" s="220"/>
      <c r="I5" s="220"/>
      <c r="J5" s="220"/>
      <c r="K5" s="220"/>
      <c r="L5" s="220"/>
      <c r="M5" s="220"/>
      <c r="N5" s="12"/>
      <c r="O5" s="12"/>
      <c r="P5" s="12"/>
      <c r="Q5" s="79"/>
    </row>
    <row r="6" spans="1:18" s="219" customFormat="1" ht="12" customHeight="1" x14ac:dyDescent="0.2">
      <c r="A6" s="12"/>
      <c r="B6" s="546" t="s">
        <v>703</v>
      </c>
      <c r="C6" s="547"/>
      <c r="D6" s="78"/>
      <c r="E6" s="220"/>
      <c r="F6" s="220"/>
      <c r="G6" s="220"/>
      <c r="H6" s="220"/>
      <c r="I6" s="220"/>
      <c r="J6" s="220"/>
      <c r="K6" s="220"/>
      <c r="L6" s="220"/>
      <c r="M6" s="220"/>
      <c r="N6" s="12"/>
      <c r="O6" s="12"/>
      <c r="P6" s="12"/>
      <c r="Q6" s="79"/>
    </row>
    <row r="7" spans="1:18" ht="21" customHeight="1" thickBot="1" x14ac:dyDescent="0.35">
      <c r="B7" s="77"/>
      <c r="C7" s="77"/>
      <c r="D7" s="78"/>
      <c r="E7" s="75"/>
      <c r="F7" s="75"/>
      <c r="G7" s="75"/>
      <c r="H7" s="75"/>
      <c r="I7" s="75"/>
      <c r="J7" s="75"/>
      <c r="K7" s="75"/>
      <c r="L7" s="75"/>
      <c r="M7" s="75"/>
      <c r="N7" s="12"/>
      <c r="O7" s="12"/>
      <c r="P7" s="12"/>
      <c r="Q7" s="231" t="s">
        <v>496</v>
      </c>
    </row>
    <row r="8" spans="1:18" ht="17.25" customHeight="1" thickTop="1" thickBot="1" x14ac:dyDescent="0.25">
      <c r="A8" s="80"/>
      <c r="B8" s="539" t="s">
        <v>704</v>
      </c>
      <c r="C8" s="549" t="s">
        <v>705</v>
      </c>
      <c r="D8" s="549" t="s">
        <v>482</v>
      </c>
      <c r="E8" s="549" t="s">
        <v>706</v>
      </c>
      <c r="F8" s="539" t="s">
        <v>160</v>
      </c>
      <c r="G8" s="539"/>
      <c r="H8" s="539"/>
      <c r="I8" s="539"/>
      <c r="J8" s="539" t="s">
        <v>161</v>
      </c>
      <c r="K8" s="539"/>
      <c r="L8" s="539"/>
      <c r="M8" s="539"/>
      <c r="N8" s="539" t="s">
        <v>481</v>
      </c>
      <c r="O8" s="539"/>
      <c r="P8" s="539"/>
      <c r="Q8" s="539"/>
    </row>
    <row r="9" spans="1:18" ht="28.5" customHeight="1" thickTop="1" thickBot="1" x14ac:dyDescent="0.25">
      <c r="A9" s="81"/>
      <c r="B9" s="539"/>
      <c r="C9" s="512"/>
      <c r="D9" s="512"/>
      <c r="E9" s="550"/>
      <c r="F9" s="534" t="s">
        <v>478</v>
      </c>
      <c r="G9" s="534" t="s">
        <v>479</v>
      </c>
      <c r="H9" s="535"/>
      <c r="I9" s="534" t="s">
        <v>480</v>
      </c>
      <c r="J9" s="534" t="s">
        <v>478</v>
      </c>
      <c r="K9" s="534" t="s">
        <v>479</v>
      </c>
      <c r="L9" s="535"/>
      <c r="M9" s="534" t="s">
        <v>480</v>
      </c>
      <c r="N9" s="534" t="s">
        <v>478</v>
      </c>
      <c r="O9" s="534" t="s">
        <v>479</v>
      </c>
      <c r="P9" s="535"/>
      <c r="Q9" s="534" t="s">
        <v>480</v>
      </c>
    </row>
    <row r="10" spans="1:18" ht="50.25" customHeight="1" thickTop="1" thickBot="1" x14ac:dyDescent="0.25">
      <c r="A10" s="74"/>
      <c r="B10" s="539"/>
      <c r="C10" s="512"/>
      <c r="D10" s="512"/>
      <c r="E10" s="512"/>
      <c r="F10" s="534"/>
      <c r="G10" s="232" t="s">
        <v>476</v>
      </c>
      <c r="H10" s="232" t="s">
        <v>477</v>
      </c>
      <c r="I10" s="534"/>
      <c r="J10" s="534"/>
      <c r="K10" s="232" t="s">
        <v>476</v>
      </c>
      <c r="L10" s="232" t="s">
        <v>477</v>
      </c>
      <c r="M10" s="534"/>
      <c r="N10" s="534"/>
      <c r="O10" s="232" t="s">
        <v>476</v>
      </c>
      <c r="P10" s="232" t="s">
        <v>477</v>
      </c>
      <c r="Q10" s="534"/>
    </row>
    <row r="11" spans="1:18" ht="15" customHeight="1" thickTop="1" thickBot="1" x14ac:dyDescent="0.25">
      <c r="A11" s="74"/>
      <c r="B11" s="233">
        <v>1</v>
      </c>
      <c r="C11" s="234">
        <v>2</v>
      </c>
      <c r="D11" s="233">
        <v>3</v>
      </c>
      <c r="E11" s="234">
        <v>4</v>
      </c>
      <c r="F11" s="233">
        <v>5</v>
      </c>
      <c r="G11" s="234">
        <v>6</v>
      </c>
      <c r="H11" s="233">
        <v>7</v>
      </c>
      <c r="I11" s="234">
        <v>8</v>
      </c>
      <c r="J11" s="233">
        <v>9</v>
      </c>
      <c r="K11" s="234">
        <v>10</v>
      </c>
      <c r="L11" s="233">
        <v>11</v>
      </c>
      <c r="M11" s="234">
        <v>12</v>
      </c>
      <c r="N11" s="233">
        <v>13</v>
      </c>
      <c r="O11" s="234">
        <v>14</v>
      </c>
      <c r="P11" s="233">
        <v>15</v>
      </c>
      <c r="Q11" s="234">
        <v>16</v>
      </c>
    </row>
    <row r="12" spans="1:18" s="83" customFormat="1" ht="46.5" thickTop="1" thickBot="1" x14ac:dyDescent="0.25">
      <c r="A12" s="82"/>
      <c r="B12" s="422" t="s">
        <v>26</v>
      </c>
      <c r="C12" s="438"/>
      <c r="D12" s="423"/>
      <c r="E12" s="423" t="s">
        <v>27</v>
      </c>
      <c r="F12" s="423">
        <f>F13</f>
        <v>0</v>
      </c>
      <c r="G12" s="438">
        <f t="shared" ref="G12:Q12" si="0">G13</f>
        <v>320170.42000000004</v>
      </c>
      <c r="H12" s="438">
        <f t="shared" si="0"/>
        <v>0</v>
      </c>
      <c r="I12" s="423">
        <f t="shared" si="0"/>
        <v>320170.42000000004</v>
      </c>
      <c r="J12" s="423">
        <f t="shared" si="0"/>
        <v>0</v>
      </c>
      <c r="K12" s="423">
        <f t="shared" si="0"/>
        <v>-150600</v>
      </c>
      <c r="L12" s="438">
        <f t="shared" si="0"/>
        <v>0</v>
      </c>
      <c r="M12" s="438">
        <f t="shared" si="0"/>
        <v>-150600</v>
      </c>
      <c r="N12" s="423"/>
      <c r="O12" s="438">
        <f t="shared" si="0"/>
        <v>169570.42000000004</v>
      </c>
      <c r="P12" s="438"/>
      <c r="Q12" s="438">
        <f t="shared" si="0"/>
        <v>169570.42000000004</v>
      </c>
      <c r="R12" s="301" t="b">
        <f>42994.4+126576.02=Q12</f>
        <v>1</v>
      </c>
    </row>
    <row r="13" spans="1:18" ht="44.25" thickTop="1" thickBot="1" x14ac:dyDescent="0.25">
      <c r="B13" s="425" t="s">
        <v>25</v>
      </c>
      <c r="C13" s="439"/>
      <c r="D13" s="426"/>
      <c r="E13" s="426" t="s">
        <v>44</v>
      </c>
      <c r="F13" s="426">
        <f>F14</f>
        <v>0</v>
      </c>
      <c r="G13" s="439">
        <f t="shared" ref="G13:I13" si="1">G14</f>
        <v>320170.42000000004</v>
      </c>
      <c r="H13" s="439">
        <f t="shared" si="1"/>
        <v>0</v>
      </c>
      <c r="I13" s="426">
        <f t="shared" si="1"/>
        <v>320170.42000000004</v>
      </c>
      <c r="J13" s="426">
        <f>J15</f>
        <v>0</v>
      </c>
      <c r="K13" s="426">
        <f>K15+K14+K16</f>
        <v>-150600</v>
      </c>
      <c r="L13" s="439">
        <f t="shared" ref="L13" si="2">L15</f>
        <v>0</v>
      </c>
      <c r="M13" s="426">
        <f>M15+M14+M16</f>
        <v>-150600</v>
      </c>
      <c r="N13" s="426"/>
      <c r="O13" s="426">
        <f>O15+O14+O16</f>
        <v>169570.42000000004</v>
      </c>
      <c r="P13" s="426"/>
      <c r="Q13" s="426">
        <f>Q15+Q14+Q16</f>
        <v>169570.42000000004</v>
      </c>
    </row>
    <row r="14" spans="1:18" ht="61.5" thickTop="1" thickBot="1" x14ac:dyDescent="0.25">
      <c r="B14" s="295" t="s">
        <v>615</v>
      </c>
      <c r="C14" s="295" t="s">
        <v>618</v>
      </c>
      <c r="D14" s="295" t="s">
        <v>62</v>
      </c>
      <c r="E14" s="296" t="s">
        <v>614</v>
      </c>
      <c r="F14" s="297"/>
      <c r="G14" s="297">
        <f>(150600)+169570.42</f>
        <v>320170.42000000004</v>
      </c>
      <c r="H14" s="297">
        <v>0</v>
      </c>
      <c r="I14" s="297">
        <f>F14+G14</f>
        <v>320170.42000000004</v>
      </c>
      <c r="J14" s="297">
        <v>0</v>
      </c>
      <c r="K14" s="297">
        <v>0</v>
      </c>
      <c r="L14" s="297"/>
      <c r="M14" s="297">
        <f>J14+K14</f>
        <v>0</v>
      </c>
      <c r="N14" s="297">
        <f>F14+J14</f>
        <v>0</v>
      </c>
      <c r="O14" s="297">
        <f>G14+K14</f>
        <v>320170.42000000004</v>
      </c>
      <c r="P14" s="297"/>
      <c r="Q14" s="297">
        <f>I14+M14</f>
        <v>320170.42000000004</v>
      </c>
    </row>
    <row r="15" spans="1:18" ht="61.5" thickTop="1" thickBot="1" x14ac:dyDescent="0.25">
      <c r="B15" s="295" t="s">
        <v>616</v>
      </c>
      <c r="C15" s="295" t="s">
        <v>619</v>
      </c>
      <c r="D15" s="295" t="s">
        <v>62</v>
      </c>
      <c r="E15" s="296" t="s">
        <v>617</v>
      </c>
      <c r="F15" s="297"/>
      <c r="G15" s="297">
        <f>H15+I15</f>
        <v>0</v>
      </c>
      <c r="H15" s="297"/>
      <c r="I15" s="297"/>
      <c r="J15" s="297"/>
      <c r="K15" s="297">
        <f>-150600</f>
        <v>-150600</v>
      </c>
      <c r="L15" s="297"/>
      <c r="M15" s="297">
        <f>J15+K15</f>
        <v>-150600</v>
      </c>
      <c r="N15" s="297">
        <f>F15+J15</f>
        <v>0</v>
      </c>
      <c r="O15" s="297">
        <f>G15+K15</f>
        <v>-150600</v>
      </c>
      <c r="P15" s="297"/>
      <c r="Q15" s="297">
        <f>I15+M15</f>
        <v>-150600</v>
      </c>
    </row>
    <row r="16" spans="1:18" s="282" customFormat="1" ht="61.5" hidden="1" thickTop="1" thickBot="1" x14ac:dyDescent="0.25">
      <c r="A16" s="12"/>
      <c r="B16" s="295" t="s">
        <v>723</v>
      </c>
      <c r="C16" s="295" t="s">
        <v>724</v>
      </c>
      <c r="D16" s="295" t="s">
        <v>62</v>
      </c>
      <c r="E16" s="296" t="s">
        <v>722</v>
      </c>
      <c r="F16" s="297"/>
      <c r="G16" s="297"/>
      <c r="H16" s="297"/>
      <c r="I16" s="297"/>
      <c r="J16" s="297"/>
      <c r="K16" s="297"/>
      <c r="L16" s="297"/>
      <c r="M16" s="297">
        <f>J16+K16</f>
        <v>0</v>
      </c>
      <c r="N16" s="297"/>
      <c r="O16" s="297">
        <f>G16+K16</f>
        <v>0</v>
      </c>
      <c r="P16" s="297"/>
      <c r="Q16" s="297">
        <f>I16+M16</f>
        <v>0</v>
      </c>
    </row>
    <row r="17" spans="1:17" ht="27.75" customHeight="1" thickTop="1" thickBot="1" x14ac:dyDescent="0.25">
      <c r="B17" s="235" t="s">
        <v>473</v>
      </c>
      <c r="C17" s="235" t="s">
        <v>473</v>
      </c>
      <c r="D17" s="235" t="s">
        <v>473</v>
      </c>
      <c r="E17" s="236" t="s">
        <v>483</v>
      </c>
      <c r="F17" s="237">
        <f>F12</f>
        <v>0</v>
      </c>
      <c r="G17" s="237">
        <f>H17+I17</f>
        <v>320170.42000000004</v>
      </c>
      <c r="H17" s="237">
        <f t="shared" ref="H17:I17" si="3">H12</f>
        <v>0</v>
      </c>
      <c r="I17" s="237">
        <f t="shared" si="3"/>
        <v>320170.42000000004</v>
      </c>
      <c r="J17" s="237">
        <f>J12</f>
        <v>0</v>
      </c>
      <c r="K17" s="237">
        <f>K12</f>
        <v>-150600</v>
      </c>
      <c r="L17" s="237">
        <f>L12</f>
        <v>0</v>
      </c>
      <c r="M17" s="237">
        <f t="shared" ref="M17:N17" si="4">M12</f>
        <v>-150600</v>
      </c>
      <c r="N17" s="237">
        <f t="shared" si="4"/>
        <v>0</v>
      </c>
      <c r="O17" s="237">
        <f>O14+O15</f>
        <v>169570.42000000004</v>
      </c>
      <c r="P17" s="237"/>
      <c r="Q17" s="237">
        <f>Q14+Q15</f>
        <v>169570.42000000004</v>
      </c>
    </row>
    <row r="18" spans="1:17" s="480" customFormat="1" ht="27.75" customHeight="1" thickTop="1" x14ac:dyDescent="0.2">
      <c r="A18" s="390"/>
      <c r="B18" s="477"/>
      <c r="C18" s="477"/>
      <c r="D18" s="477"/>
      <c r="E18" s="478"/>
      <c r="F18" s="479"/>
      <c r="G18" s="479"/>
      <c r="H18" s="479"/>
      <c r="I18" s="479"/>
      <c r="J18" s="479"/>
      <c r="K18" s="479"/>
      <c r="L18" s="479"/>
      <c r="M18" s="479"/>
      <c r="N18" s="479"/>
      <c r="O18" s="479"/>
      <c r="P18" s="479"/>
      <c r="Q18" s="479"/>
    </row>
    <row r="19" spans="1:17" ht="27.75" customHeight="1" x14ac:dyDescent="0.25">
      <c r="B19" s="118"/>
      <c r="C19" s="118"/>
      <c r="D19" s="536" t="s">
        <v>925</v>
      </c>
      <c r="E19" s="536"/>
      <c r="F19" s="536"/>
      <c r="G19" s="536"/>
      <c r="H19" s="536"/>
      <c r="I19" s="536"/>
      <c r="J19" s="536"/>
      <c r="K19" s="536"/>
      <c r="L19" s="536"/>
      <c r="M19" s="536"/>
      <c r="N19" s="536"/>
      <c r="O19" s="536"/>
      <c r="P19" s="536"/>
      <c r="Q19" s="119"/>
    </row>
    <row r="20" spans="1:17" ht="15.75" customHeight="1" x14ac:dyDescent="0.25">
      <c r="B20" s="118"/>
      <c r="C20" s="118"/>
      <c r="D20" s="536"/>
      <c r="E20" s="536"/>
      <c r="F20" s="536"/>
      <c r="G20" s="536"/>
      <c r="H20" s="536"/>
      <c r="I20" s="536"/>
      <c r="J20" s="536"/>
      <c r="K20" s="536"/>
      <c r="L20" s="536"/>
      <c r="M20" s="536"/>
      <c r="N20" s="536"/>
      <c r="O20" s="536"/>
      <c r="P20" s="536"/>
      <c r="Q20" s="119"/>
    </row>
    <row r="21" spans="1:17" ht="15" x14ac:dyDescent="0.25">
      <c r="D21" s="536"/>
      <c r="E21" s="536"/>
      <c r="F21" s="536"/>
      <c r="G21" s="536"/>
      <c r="H21" s="536"/>
      <c r="I21" s="536"/>
      <c r="J21" s="536"/>
      <c r="K21" s="536"/>
      <c r="L21" s="536"/>
      <c r="M21" s="536"/>
      <c r="N21" s="536"/>
      <c r="O21" s="536"/>
      <c r="P21" s="536"/>
    </row>
    <row r="22" spans="1:17" ht="15" x14ac:dyDescent="0.25">
      <c r="D22" s="536"/>
      <c r="E22" s="536"/>
      <c r="F22" s="536"/>
      <c r="G22" s="536"/>
      <c r="H22" s="536"/>
      <c r="I22" s="536"/>
      <c r="J22" s="536"/>
      <c r="K22" s="536"/>
      <c r="L22" s="536"/>
      <c r="M22" s="536"/>
      <c r="N22" s="536"/>
      <c r="O22" s="536"/>
      <c r="P22" s="536"/>
    </row>
    <row r="23" spans="1:17" ht="15" x14ac:dyDescent="0.2">
      <c r="D23" s="120"/>
      <c r="E23" s="121"/>
      <c r="F23" s="122"/>
      <c r="G23" s="120">
        <f>H23+I23</f>
        <v>0</v>
      </c>
      <c r="H23" s="120"/>
      <c r="I23" s="123"/>
      <c r="J23" s="121"/>
      <c r="K23" s="123"/>
      <c r="L23" s="120"/>
      <c r="M23" s="120"/>
      <c r="N23" s="123"/>
      <c r="O23" s="124"/>
      <c r="P23" s="125"/>
    </row>
    <row r="24" spans="1:17" ht="15" x14ac:dyDescent="0.25">
      <c r="D24" s="126"/>
      <c r="E24" s="126"/>
      <c r="F24" s="126"/>
      <c r="G24" s="126">
        <f>H24+I24</f>
        <v>0</v>
      </c>
      <c r="H24" s="126"/>
      <c r="I24" s="126"/>
      <c r="J24" s="126"/>
      <c r="K24" s="126"/>
      <c r="L24" s="126"/>
      <c r="M24" s="126"/>
      <c r="N24" s="126"/>
      <c r="O24" s="126"/>
      <c r="P24" s="126"/>
    </row>
    <row r="25" spans="1:17" x14ac:dyDescent="0.2">
      <c r="G25" s="74">
        <f>H25+I25</f>
        <v>0</v>
      </c>
    </row>
    <row r="26" spans="1:17" x14ac:dyDescent="0.2">
      <c r="G26" s="74">
        <f>H26+I26</f>
        <v>0</v>
      </c>
    </row>
    <row r="27" spans="1:17" x14ac:dyDescent="0.2">
      <c r="G27" s="74">
        <f>H27+I27</f>
        <v>0</v>
      </c>
    </row>
    <row r="49" spans="7:7" x14ac:dyDescent="0.2">
      <c r="G49" s="74">
        <f>H49+I49</f>
        <v>0</v>
      </c>
    </row>
    <row r="51" spans="7:7" x14ac:dyDescent="0.2">
      <c r="G51" s="74">
        <f t="shared" ref="G51:G69" si="5">H51+I51</f>
        <v>0</v>
      </c>
    </row>
    <row r="52" spans="7:7" x14ac:dyDescent="0.2">
      <c r="G52" s="74">
        <f t="shared" si="5"/>
        <v>0</v>
      </c>
    </row>
    <row r="53" spans="7:7" x14ac:dyDescent="0.2">
      <c r="G53" s="74">
        <f t="shared" si="5"/>
        <v>0</v>
      </c>
    </row>
    <row r="54" spans="7:7" x14ac:dyDescent="0.2">
      <c r="G54" s="74">
        <f t="shared" si="5"/>
        <v>0</v>
      </c>
    </row>
    <row r="55" spans="7:7" x14ac:dyDescent="0.2">
      <c r="G55" s="74">
        <f t="shared" si="5"/>
        <v>0</v>
      </c>
    </row>
    <row r="56" spans="7:7" x14ac:dyDescent="0.2">
      <c r="G56" s="74">
        <f t="shared" si="5"/>
        <v>0</v>
      </c>
    </row>
    <row r="57" spans="7:7" x14ac:dyDescent="0.2">
      <c r="G57" s="74">
        <f t="shared" si="5"/>
        <v>0</v>
      </c>
    </row>
    <row r="58" spans="7:7" x14ac:dyDescent="0.2">
      <c r="G58" s="74">
        <f t="shared" si="5"/>
        <v>0</v>
      </c>
    </row>
    <row r="59" spans="7:7" x14ac:dyDescent="0.2">
      <c r="G59" s="74">
        <f t="shared" si="5"/>
        <v>0</v>
      </c>
    </row>
    <row r="60" spans="7:7" x14ac:dyDescent="0.2">
      <c r="G60" s="74">
        <f t="shared" si="5"/>
        <v>0</v>
      </c>
    </row>
    <row r="61" spans="7:7" x14ac:dyDescent="0.2">
      <c r="G61" s="74">
        <f t="shared" si="5"/>
        <v>0</v>
      </c>
    </row>
    <row r="62" spans="7:7" x14ac:dyDescent="0.2">
      <c r="G62" s="74">
        <f t="shared" si="5"/>
        <v>0</v>
      </c>
    </row>
    <row r="63" spans="7:7" x14ac:dyDescent="0.2">
      <c r="G63" s="74">
        <f t="shared" si="5"/>
        <v>0</v>
      </c>
    </row>
    <row r="64" spans="7:7" x14ac:dyDescent="0.2">
      <c r="G64" s="74">
        <f t="shared" si="5"/>
        <v>0</v>
      </c>
    </row>
    <row r="65" spans="7:7" x14ac:dyDescent="0.2">
      <c r="G65" s="74">
        <f t="shared" si="5"/>
        <v>0</v>
      </c>
    </row>
    <row r="66" spans="7:7" x14ac:dyDescent="0.2">
      <c r="G66" s="74">
        <f t="shared" si="5"/>
        <v>0</v>
      </c>
    </row>
    <row r="67" spans="7:7" x14ac:dyDescent="0.2">
      <c r="G67" s="74">
        <f t="shared" si="5"/>
        <v>0</v>
      </c>
    </row>
    <row r="68" spans="7:7" x14ac:dyDescent="0.2">
      <c r="G68" s="74">
        <f t="shared" si="5"/>
        <v>0</v>
      </c>
    </row>
    <row r="69" spans="7:7" x14ac:dyDescent="0.2">
      <c r="G69" s="74">
        <f t="shared" si="5"/>
        <v>0</v>
      </c>
    </row>
    <row r="71" spans="7:7" x14ac:dyDescent="0.2">
      <c r="G71" s="74">
        <f>H71+I71</f>
        <v>0</v>
      </c>
    </row>
    <row r="72" spans="7:7" x14ac:dyDescent="0.2">
      <c r="G72" s="74">
        <f>H72+I72</f>
        <v>0</v>
      </c>
    </row>
    <row r="73" spans="7:7" x14ac:dyDescent="0.2">
      <c r="G73" s="74">
        <f>H73+I73</f>
        <v>0</v>
      </c>
    </row>
    <row r="74" spans="7:7" x14ac:dyDescent="0.2">
      <c r="G74" s="74">
        <f>H74+I74</f>
        <v>0</v>
      </c>
    </row>
    <row r="76" spans="7:7" x14ac:dyDescent="0.2">
      <c r="G76" s="74">
        <f>H76+I76</f>
        <v>0</v>
      </c>
    </row>
    <row r="79" spans="7:7" x14ac:dyDescent="0.2">
      <c r="G79" s="548"/>
    </row>
    <row r="80" spans="7:7" x14ac:dyDescent="0.2">
      <c r="G80" s="491"/>
    </row>
    <row r="116" spans="7:7" x14ac:dyDescent="0.2">
      <c r="G116" s="74">
        <f>H116+I116</f>
        <v>0</v>
      </c>
    </row>
    <row r="118" spans="7:7" x14ac:dyDescent="0.2">
      <c r="G118" s="74">
        <f t="shared" ref="G118:G128" si="6">H118+I118</f>
        <v>0</v>
      </c>
    </row>
    <row r="119" spans="7:7" x14ac:dyDescent="0.2">
      <c r="G119" s="74">
        <f t="shared" si="6"/>
        <v>0</v>
      </c>
    </row>
    <row r="120" spans="7:7" x14ac:dyDescent="0.2">
      <c r="G120" s="74">
        <f t="shared" si="6"/>
        <v>0</v>
      </c>
    </row>
    <row r="121" spans="7:7" x14ac:dyDescent="0.2">
      <c r="G121" s="74">
        <f t="shared" si="6"/>
        <v>0</v>
      </c>
    </row>
    <row r="122" spans="7:7" x14ac:dyDescent="0.2">
      <c r="G122" s="74">
        <f t="shared" si="6"/>
        <v>0</v>
      </c>
    </row>
    <row r="123" spans="7:7" x14ac:dyDescent="0.2">
      <c r="G123" s="74">
        <f t="shared" si="6"/>
        <v>0</v>
      </c>
    </row>
    <row r="124" spans="7:7" x14ac:dyDescent="0.2">
      <c r="G124" s="74">
        <f t="shared" si="6"/>
        <v>0</v>
      </c>
    </row>
    <row r="125" spans="7:7" x14ac:dyDescent="0.2">
      <c r="G125" s="74">
        <f t="shared" si="6"/>
        <v>0</v>
      </c>
    </row>
    <row r="126" spans="7:7" x14ac:dyDescent="0.2">
      <c r="G126" s="74">
        <f t="shared" si="6"/>
        <v>0</v>
      </c>
    </row>
    <row r="127" spans="7:7" x14ac:dyDescent="0.2">
      <c r="G127" s="74">
        <f t="shared" si="6"/>
        <v>0</v>
      </c>
    </row>
    <row r="128" spans="7:7" x14ac:dyDescent="0.2">
      <c r="G128" s="74">
        <f t="shared" si="6"/>
        <v>0</v>
      </c>
    </row>
    <row r="130" spans="7:10" x14ac:dyDescent="0.2">
      <c r="G130" s="74">
        <f>H131+I131</f>
        <v>0</v>
      </c>
    </row>
    <row r="131" spans="7:10" x14ac:dyDescent="0.2">
      <c r="G131" s="74">
        <f t="shared" ref="G131" si="7">H131+I131</f>
        <v>0</v>
      </c>
    </row>
    <row r="132" spans="7:10" x14ac:dyDescent="0.2">
      <c r="G132" s="74">
        <f>H132+I132</f>
        <v>0</v>
      </c>
    </row>
    <row r="133" spans="7:10" x14ac:dyDescent="0.2">
      <c r="G133" s="74">
        <f>H133+I133</f>
        <v>0</v>
      </c>
    </row>
    <row r="134" spans="7:10" x14ac:dyDescent="0.2">
      <c r="G134" s="74">
        <f>H134+I134</f>
        <v>0</v>
      </c>
    </row>
    <row r="135" spans="7:10" x14ac:dyDescent="0.2">
      <c r="G135" s="74">
        <f>H135+I135</f>
        <v>0</v>
      </c>
    </row>
    <row r="140" spans="7:10" ht="46.5" x14ac:dyDescent="0.65">
      <c r="J140" s="149"/>
    </row>
    <row r="143" spans="7:10" ht="46.5" x14ac:dyDescent="0.65">
      <c r="G143" s="149">
        <f>H143+I143</f>
        <v>0</v>
      </c>
      <c r="J143" s="149"/>
    </row>
    <row r="162" spans="11:11" ht="90" x14ac:dyDescent="1.1499999999999999">
      <c r="K162" s="147" t="b">
        <f>G162=H162+I162</f>
        <v>1</v>
      </c>
    </row>
  </sheetData>
  <mergeCells count="27">
    <mergeCell ref="B3:C3"/>
    <mergeCell ref="B4:C4"/>
    <mergeCell ref="B5:C5"/>
    <mergeCell ref="B6:C6"/>
    <mergeCell ref="G79:G80"/>
    <mergeCell ref="B8:B10"/>
    <mergeCell ref="C8:C10"/>
    <mergeCell ref="D8:D10"/>
    <mergeCell ref="E8:E10"/>
    <mergeCell ref="F8:I8"/>
    <mergeCell ref="F9:F10"/>
    <mergeCell ref="I9:I10"/>
    <mergeCell ref="O9:P9"/>
    <mergeCell ref="D22:P22"/>
    <mergeCell ref="D19:P19"/>
    <mergeCell ref="D21:P21"/>
    <mergeCell ref="M2:Q2"/>
    <mergeCell ref="E3:M4"/>
    <mergeCell ref="J8:M8"/>
    <mergeCell ref="N8:Q8"/>
    <mergeCell ref="Q9:Q10"/>
    <mergeCell ref="M9:M10"/>
    <mergeCell ref="N9:N10"/>
    <mergeCell ref="J9:J10"/>
    <mergeCell ref="D20:P20"/>
    <mergeCell ref="G9:H9"/>
    <mergeCell ref="K9:L9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5"/>
  <sheetViews>
    <sheetView view="pageBreakPreview" topLeftCell="B1" zoomScale="70" zoomScaleNormal="40" zoomScaleSheetLayoutView="70" workbookViewId="0">
      <pane ySplit="10" topLeftCell="A218" activePane="bottomLeft" state="frozen"/>
      <selection activeCell="K153" sqref="K153"/>
      <selection pane="bottomLeft" activeCell="G2" sqref="G2:K2"/>
    </sheetView>
  </sheetViews>
  <sheetFormatPr defaultColWidth="7.85546875" defaultRowHeight="12.75" x14ac:dyDescent="0.2"/>
  <cols>
    <col min="1" max="1" width="3.28515625" style="12" hidden="1" customWidth="1"/>
    <col min="2" max="3" width="15.42578125" style="109" customWidth="1"/>
    <col min="4" max="4" width="16.85546875" style="109" customWidth="1"/>
    <col min="5" max="5" width="41.5703125" style="109" customWidth="1"/>
    <col min="6" max="6" width="38.5703125" style="109" customWidth="1"/>
    <col min="7" max="11" width="18.140625" style="365" customWidth="1"/>
    <col min="12" max="12" width="30.7109375" style="12" customWidth="1"/>
    <col min="13" max="13" width="16.5703125" style="12" customWidth="1"/>
    <col min="14" max="14" width="13.7109375" style="12" customWidth="1"/>
    <col min="15" max="15" width="12.7109375" style="12" customWidth="1"/>
    <col min="16" max="16384" width="7.85546875" style="12"/>
  </cols>
  <sheetData>
    <row r="1" spans="2:12" s="11" customFormat="1" ht="22.7" customHeight="1" x14ac:dyDescent="0.25">
      <c r="B1" s="552"/>
      <c r="C1" s="552"/>
      <c r="D1" s="552"/>
      <c r="E1" s="552"/>
      <c r="F1" s="552"/>
      <c r="G1" s="552"/>
      <c r="H1" s="552"/>
      <c r="I1" s="552"/>
      <c r="J1" s="552"/>
      <c r="K1" s="552"/>
    </row>
    <row r="2" spans="2:12" ht="41.25" customHeight="1" x14ac:dyDescent="0.2">
      <c r="G2" s="537" t="s">
        <v>936</v>
      </c>
      <c r="H2" s="537"/>
      <c r="I2" s="537"/>
      <c r="J2" s="537"/>
      <c r="K2" s="537"/>
    </row>
    <row r="3" spans="2:12" ht="29.25" customHeight="1" x14ac:dyDescent="0.2">
      <c r="G3" s="345"/>
      <c r="H3" s="345"/>
      <c r="I3" s="345"/>
      <c r="J3" s="345"/>
      <c r="K3" s="345"/>
    </row>
    <row r="4" spans="2:12" ht="57" customHeight="1" x14ac:dyDescent="0.2">
      <c r="B4" s="553" t="s">
        <v>775</v>
      </c>
      <c r="C4" s="538"/>
      <c r="D4" s="538"/>
      <c r="E4" s="538"/>
      <c r="F4" s="538"/>
      <c r="G4" s="538"/>
      <c r="H4" s="538"/>
      <c r="I4" s="538"/>
      <c r="J4" s="538"/>
      <c r="K4" s="538"/>
    </row>
    <row r="5" spans="2:12" ht="22.5" x14ac:dyDescent="0.2">
      <c r="B5" s="347"/>
      <c r="C5" s="346"/>
      <c r="D5" s="346"/>
      <c r="E5" s="346"/>
      <c r="F5" s="346"/>
      <c r="G5" s="346"/>
      <c r="H5" s="346"/>
      <c r="I5" s="346"/>
      <c r="J5" s="346"/>
      <c r="K5" s="346"/>
    </row>
    <row r="6" spans="2:12" ht="18.75" x14ac:dyDescent="0.2">
      <c r="B6" s="554">
        <v>22201100000</v>
      </c>
      <c r="C6" s="555"/>
      <c r="D6" s="346"/>
      <c r="E6" s="346"/>
      <c r="F6" s="346"/>
      <c r="G6" s="346"/>
      <c r="H6" s="346"/>
      <c r="I6" s="346"/>
      <c r="J6" s="346"/>
      <c r="K6" s="346"/>
    </row>
    <row r="7" spans="2:12" ht="18.75" x14ac:dyDescent="0.2">
      <c r="B7" s="556" t="s">
        <v>703</v>
      </c>
      <c r="C7" s="557"/>
      <c r="D7" s="346"/>
      <c r="E7" s="346"/>
      <c r="F7" s="346"/>
      <c r="G7" s="346"/>
      <c r="H7" s="346"/>
      <c r="I7" s="346"/>
      <c r="J7" s="346"/>
      <c r="K7" s="346"/>
    </row>
    <row r="8" spans="2:12" ht="6" customHeight="1" thickBot="1" x14ac:dyDescent="0.25">
      <c r="B8" s="358"/>
      <c r="C8" s="341"/>
      <c r="D8" s="346"/>
      <c r="E8" s="346"/>
      <c r="F8" s="346"/>
      <c r="G8" s="346"/>
      <c r="H8" s="346"/>
      <c r="I8" s="346"/>
      <c r="J8" s="346"/>
      <c r="K8" s="346"/>
    </row>
    <row r="9" spans="2:12" ht="120" customHeight="1" thickTop="1" thickBot="1" x14ac:dyDescent="0.25">
      <c r="B9" s="359" t="s">
        <v>704</v>
      </c>
      <c r="C9" s="359" t="s">
        <v>705</v>
      </c>
      <c r="D9" s="359" t="s">
        <v>482</v>
      </c>
      <c r="E9" s="359" t="s">
        <v>776</v>
      </c>
      <c r="F9" s="360" t="s">
        <v>777</v>
      </c>
      <c r="G9" s="360" t="s">
        <v>778</v>
      </c>
      <c r="H9" s="360" t="s">
        <v>779</v>
      </c>
      <c r="I9" s="360" t="s">
        <v>780</v>
      </c>
      <c r="J9" s="360" t="s">
        <v>781</v>
      </c>
      <c r="K9" s="360" t="s">
        <v>782</v>
      </c>
    </row>
    <row r="10" spans="2:12" ht="20.25" customHeight="1" thickTop="1" thickBot="1" x14ac:dyDescent="0.25">
      <c r="B10" s="328">
        <v>1</v>
      </c>
      <c r="C10" s="328">
        <v>2</v>
      </c>
      <c r="D10" s="328">
        <v>3</v>
      </c>
      <c r="E10" s="328">
        <v>4</v>
      </c>
      <c r="F10" s="328">
        <v>5</v>
      </c>
      <c r="G10" s="328">
        <v>6</v>
      </c>
      <c r="H10" s="328">
        <v>7</v>
      </c>
      <c r="I10" s="328">
        <v>8</v>
      </c>
      <c r="J10" s="328">
        <v>9</v>
      </c>
      <c r="K10" s="328">
        <v>10</v>
      </c>
    </row>
    <row r="11" spans="2:12" ht="39.75" customHeight="1" thickTop="1" thickBot="1" x14ac:dyDescent="0.25">
      <c r="B11" s="421" t="s">
        <v>190</v>
      </c>
      <c r="C11" s="421"/>
      <c r="D11" s="421"/>
      <c r="E11" s="422" t="s">
        <v>192</v>
      </c>
      <c r="F11" s="421"/>
      <c r="G11" s="421"/>
      <c r="H11" s="421"/>
      <c r="I11" s="421"/>
      <c r="J11" s="423">
        <f>J12</f>
        <v>5317946</v>
      </c>
      <c r="K11" s="421"/>
    </row>
    <row r="12" spans="2:12" ht="47.25" customHeight="1" thickTop="1" thickBot="1" x14ac:dyDescent="0.25">
      <c r="B12" s="424" t="s">
        <v>191</v>
      </c>
      <c r="C12" s="424"/>
      <c r="D12" s="424"/>
      <c r="E12" s="425" t="s">
        <v>193</v>
      </c>
      <c r="F12" s="424"/>
      <c r="G12" s="424"/>
      <c r="H12" s="424"/>
      <c r="I12" s="424"/>
      <c r="J12" s="426">
        <f>SUM(J13:J19)</f>
        <v>5317946</v>
      </c>
      <c r="K12" s="424"/>
    </row>
    <row r="13" spans="2:12" ht="76.5" thickTop="1" thickBot="1" x14ac:dyDescent="0.25">
      <c r="B13" s="379" t="s">
        <v>284</v>
      </c>
      <c r="C13" s="379" t="s">
        <v>285</v>
      </c>
      <c r="D13" s="379" t="s">
        <v>286</v>
      </c>
      <c r="E13" s="379" t="s">
        <v>283</v>
      </c>
      <c r="F13" s="380" t="s">
        <v>783</v>
      </c>
      <c r="G13" s="381"/>
      <c r="H13" s="382"/>
      <c r="I13" s="381"/>
      <c r="J13" s="383">
        <f>(326000)+20000</f>
        <v>346000</v>
      </c>
      <c r="K13" s="383"/>
    </row>
    <row r="14" spans="2:12" ht="91.5" thickTop="1" thickBot="1" x14ac:dyDescent="0.25">
      <c r="B14" s="379" t="s">
        <v>284</v>
      </c>
      <c r="C14" s="379" t="s">
        <v>285</v>
      </c>
      <c r="D14" s="379" t="s">
        <v>286</v>
      </c>
      <c r="E14" s="379" t="s">
        <v>283</v>
      </c>
      <c r="F14" s="380" t="s">
        <v>873</v>
      </c>
      <c r="G14" s="384" t="s">
        <v>644</v>
      </c>
      <c r="H14" s="385"/>
      <c r="I14" s="386"/>
      <c r="J14" s="383">
        <f>278000-178600</f>
        <v>99400</v>
      </c>
      <c r="K14" s="386"/>
      <c r="L14" s="12" t="s">
        <v>874</v>
      </c>
    </row>
    <row r="15" spans="2:12" ht="76.5" thickTop="1" thickBot="1" x14ac:dyDescent="0.25">
      <c r="B15" s="379" t="s">
        <v>284</v>
      </c>
      <c r="C15" s="379" t="s">
        <v>285</v>
      </c>
      <c r="D15" s="379" t="s">
        <v>286</v>
      </c>
      <c r="E15" s="379" t="s">
        <v>283</v>
      </c>
      <c r="F15" s="380" t="s">
        <v>784</v>
      </c>
      <c r="G15" s="384" t="s">
        <v>644</v>
      </c>
      <c r="H15" s="385">
        <v>49900</v>
      </c>
      <c r="I15" s="386">
        <v>0</v>
      </c>
      <c r="J15" s="383">
        <v>49900</v>
      </c>
      <c r="K15" s="386">
        <f>(J15)/H15</f>
        <v>1</v>
      </c>
    </row>
    <row r="16" spans="2:12" ht="76.5" thickTop="1" thickBot="1" x14ac:dyDescent="0.25">
      <c r="B16" s="379" t="s">
        <v>284</v>
      </c>
      <c r="C16" s="379" t="s">
        <v>285</v>
      </c>
      <c r="D16" s="379" t="s">
        <v>286</v>
      </c>
      <c r="E16" s="379" t="s">
        <v>283</v>
      </c>
      <c r="F16" s="380" t="s">
        <v>613</v>
      </c>
      <c r="G16" s="384" t="s">
        <v>644</v>
      </c>
      <c r="H16" s="385">
        <v>100000</v>
      </c>
      <c r="I16" s="386">
        <v>0</v>
      </c>
      <c r="J16" s="383">
        <v>100000</v>
      </c>
      <c r="K16" s="386">
        <f>(J16)/H16</f>
        <v>1</v>
      </c>
    </row>
    <row r="17" spans="1:12" ht="31.5" thickTop="1" thickBot="1" x14ac:dyDescent="0.25">
      <c r="B17" s="379" t="s">
        <v>290</v>
      </c>
      <c r="C17" s="379" t="s">
        <v>291</v>
      </c>
      <c r="D17" s="379" t="s">
        <v>292</v>
      </c>
      <c r="E17" s="379" t="s">
        <v>289</v>
      </c>
      <c r="F17" s="380" t="s">
        <v>783</v>
      </c>
      <c r="G17" s="381"/>
      <c r="H17" s="382"/>
      <c r="I17" s="381"/>
      <c r="J17" s="383">
        <f>(1300000)+51646-17000</f>
        <v>1334646</v>
      </c>
      <c r="K17" s="383"/>
    </row>
    <row r="18" spans="1:12" ht="61.5" thickTop="1" thickBot="1" x14ac:dyDescent="0.25">
      <c r="B18" s="379" t="s">
        <v>738</v>
      </c>
      <c r="C18" s="379" t="s">
        <v>739</v>
      </c>
      <c r="D18" s="379" t="s">
        <v>55</v>
      </c>
      <c r="E18" s="379" t="s">
        <v>740</v>
      </c>
      <c r="F18" s="411" t="s">
        <v>783</v>
      </c>
      <c r="G18" s="381"/>
      <c r="H18" s="382"/>
      <c r="I18" s="381"/>
      <c r="J18" s="383">
        <f>3048000+40000</f>
        <v>3088000</v>
      </c>
      <c r="K18" s="383"/>
    </row>
    <row r="19" spans="1:12" ht="181.5" thickTop="1" thickBot="1" x14ac:dyDescent="0.25">
      <c r="B19" s="379" t="s">
        <v>738</v>
      </c>
      <c r="C19" s="379" t="s">
        <v>739</v>
      </c>
      <c r="D19" s="379" t="s">
        <v>55</v>
      </c>
      <c r="E19" s="379" t="s">
        <v>740</v>
      </c>
      <c r="F19" s="380" t="s">
        <v>875</v>
      </c>
      <c r="G19" s="381"/>
      <c r="H19" s="382"/>
      <c r="I19" s="381"/>
      <c r="J19" s="383">
        <v>300000</v>
      </c>
      <c r="K19" s="383"/>
    </row>
    <row r="20" spans="1:12" ht="16.5" hidden="1" thickTop="1" thickBot="1" x14ac:dyDescent="0.25">
      <c r="B20" s="379"/>
      <c r="C20" s="379"/>
      <c r="D20" s="379"/>
      <c r="E20" s="379"/>
      <c r="F20" s="380"/>
      <c r="G20" s="381"/>
      <c r="H20" s="382"/>
      <c r="I20" s="381"/>
      <c r="J20" s="383"/>
      <c r="K20" s="383"/>
    </row>
    <row r="21" spans="1:12" ht="46.5" thickTop="1" thickBot="1" x14ac:dyDescent="0.25">
      <c r="A21" s="13"/>
      <c r="B21" s="421" t="s">
        <v>194</v>
      </c>
      <c r="C21" s="421"/>
      <c r="D21" s="421"/>
      <c r="E21" s="422" t="s">
        <v>0</v>
      </c>
      <c r="F21" s="421"/>
      <c r="G21" s="421"/>
      <c r="H21" s="421"/>
      <c r="I21" s="421"/>
      <c r="J21" s="423">
        <f>J22</f>
        <v>44392639.700000003</v>
      </c>
      <c r="K21" s="421"/>
    </row>
    <row r="22" spans="1:12" ht="44.25" thickTop="1" thickBot="1" x14ac:dyDescent="0.25">
      <c r="A22" s="13"/>
      <c r="B22" s="424" t="s">
        <v>195</v>
      </c>
      <c r="C22" s="424"/>
      <c r="D22" s="424"/>
      <c r="E22" s="425" t="s">
        <v>1</v>
      </c>
      <c r="F22" s="424"/>
      <c r="G22" s="424"/>
      <c r="H22" s="424"/>
      <c r="I22" s="424"/>
      <c r="J22" s="426">
        <f>SUM(J23:J61)</f>
        <v>44392639.700000003</v>
      </c>
      <c r="K22" s="424"/>
    </row>
    <row r="23" spans="1:12" ht="31.5" thickTop="1" thickBot="1" x14ac:dyDescent="0.25">
      <c r="B23" s="379" t="s">
        <v>246</v>
      </c>
      <c r="C23" s="379" t="s">
        <v>247</v>
      </c>
      <c r="D23" s="379" t="s">
        <v>249</v>
      </c>
      <c r="E23" s="379" t="s">
        <v>250</v>
      </c>
      <c r="F23" s="380" t="s">
        <v>783</v>
      </c>
      <c r="G23" s="387"/>
      <c r="H23" s="385"/>
      <c r="I23" s="388"/>
      <c r="J23" s="383">
        <f>1010035+167800</f>
        <v>1177835</v>
      </c>
      <c r="K23" s="383"/>
    </row>
    <row r="24" spans="1:12" ht="91.5" hidden="1" thickTop="1" thickBot="1" x14ac:dyDescent="0.25">
      <c r="B24" s="367" t="s">
        <v>246</v>
      </c>
      <c r="C24" s="367" t="s">
        <v>247</v>
      </c>
      <c r="D24" s="367" t="s">
        <v>249</v>
      </c>
      <c r="E24" s="367" t="s">
        <v>250</v>
      </c>
      <c r="F24" s="368" t="s">
        <v>785</v>
      </c>
      <c r="G24" s="374" t="s">
        <v>554</v>
      </c>
      <c r="H24" s="372">
        <v>2298771.4900000002</v>
      </c>
      <c r="I24" s="373">
        <f>984339.94/H24</f>
        <v>0.42820260486178202</v>
      </c>
      <c r="J24" s="362"/>
      <c r="K24" s="373">
        <f>(J24+984339.94)/H24</f>
        <v>0.42820260486178202</v>
      </c>
    </row>
    <row r="25" spans="1:12" ht="76.5" thickTop="1" thickBot="1" x14ac:dyDescent="0.25">
      <c r="B25" s="379" t="s">
        <v>246</v>
      </c>
      <c r="C25" s="379" t="s">
        <v>247</v>
      </c>
      <c r="D25" s="379" t="s">
        <v>249</v>
      </c>
      <c r="E25" s="379" t="s">
        <v>250</v>
      </c>
      <c r="F25" s="380" t="s">
        <v>786</v>
      </c>
      <c r="G25" s="387" t="s">
        <v>554</v>
      </c>
      <c r="H25" s="385">
        <v>8521327.8499999996</v>
      </c>
      <c r="I25" s="386">
        <f>(999840/H25)</f>
        <v>0.11733382608908775</v>
      </c>
      <c r="J25" s="383">
        <f>(1000000)+3000000-929100</f>
        <v>3070900</v>
      </c>
      <c r="K25" s="386">
        <f>(J25+999840)/H25</f>
        <v>0.47771193312319277</v>
      </c>
    </row>
    <row r="26" spans="1:12" ht="61.5" thickTop="1" thickBot="1" x14ac:dyDescent="0.25">
      <c r="B26" s="379" t="s">
        <v>246</v>
      </c>
      <c r="C26" s="379" t="s">
        <v>247</v>
      </c>
      <c r="D26" s="379" t="s">
        <v>249</v>
      </c>
      <c r="E26" s="379" t="s">
        <v>250</v>
      </c>
      <c r="F26" s="380" t="s">
        <v>787</v>
      </c>
      <c r="G26" s="384" t="s">
        <v>644</v>
      </c>
      <c r="H26" s="385">
        <v>200000</v>
      </c>
      <c r="I26" s="386">
        <v>0</v>
      </c>
      <c r="J26" s="383">
        <v>200000</v>
      </c>
      <c r="K26" s="386">
        <v>1</v>
      </c>
    </row>
    <row r="27" spans="1:12" ht="61.5" thickTop="1" thickBot="1" x14ac:dyDescent="0.25">
      <c r="B27" s="379" t="s">
        <v>246</v>
      </c>
      <c r="C27" s="379" t="s">
        <v>247</v>
      </c>
      <c r="D27" s="379" t="s">
        <v>249</v>
      </c>
      <c r="E27" s="379" t="s">
        <v>250</v>
      </c>
      <c r="F27" s="380" t="s">
        <v>788</v>
      </c>
      <c r="G27" s="384" t="s">
        <v>644</v>
      </c>
      <c r="H27" s="385">
        <v>700000</v>
      </c>
      <c r="I27" s="386">
        <v>0</v>
      </c>
      <c r="J27" s="383">
        <v>300000</v>
      </c>
      <c r="K27" s="386">
        <f>(H27*I27+J27)/H27</f>
        <v>0.42857142857142855</v>
      </c>
    </row>
    <row r="28" spans="1:12" ht="76.5" hidden="1" thickTop="1" thickBot="1" x14ac:dyDescent="0.25">
      <c r="B28" s="367" t="s">
        <v>246</v>
      </c>
      <c r="C28" s="367" t="s">
        <v>247</v>
      </c>
      <c r="D28" s="367" t="s">
        <v>249</v>
      </c>
      <c r="E28" s="367" t="s">
        <v>250</v>
      </c>
      <c r="F28" s="368" t="s">
        <v>789</v>
      </c>
      <c r="G28" s="371" t="s">
        <v>644</v>
      </c>
      <c r="H28" s="372">
        <v>1099801</v>
      </c>
      <c r="I28" s="373">
        <v>0</v>
      </c>
      <c r="J28" s="362"/>
      <c r="K28" s="373">
        <v>1</v>
      </c>
    </row>
    <row r="29" spans="1:12" ht="61.5" hidden="1" thickTop="1" thickBot="1" x14ac:dyDescent="0.25">
      <c r="B29" s="367" t="s">
        <v>246</v>
      </c>
      <c r="C29" s="367" t="s">
        <v>247</v>
      </c>
      <c r="D29" s="367" t="s">
        <v>249</v>
      </c>
      <c r="E29" s="367" t="s">
        <v>250</v>
      </c>
      <c r="F29" s="368" t="s">
        <v>790</v>
      </c>
      <c r="G29" s="374" t="s">
        <v>542</v>
      </c>
      <c r="H29" s="372">
        <v>966768</v>
      </c>
      <c r="I29" s="373">
        <f>88927.2/H29</f>
        <v>9.1984012710391735E-2</v>
      </c>
      <c r="J29" s="362"/>
      <c r="K29" s="373">
        <v>1</v>
      </c>
    </row>
    <row r="30" spans="1:12" ht="106.5" thickTop="1" thickBot="1" x14ac:dyDescent="0.25">
      <c r="B30" s="379" t="s">
        <v>246</v>
      </c>
      <c r="C30" s="379" t="s">
        <v>247</v>
      </c>
      <c r="D30" s="379" t="s">
        <v>249</v>
      </c>
      <c r="E30" s="379" t="s">
        <v>250</v>
      </c>
      <c r="F30" s="380" t="s">
        <v>879</v>
      </c>
      <c r="G30" s="387" t="s">
        <v>692</v>
      </c>
      <c r="H30" s="385"/>
      <c r="I30" s="386"/>
      <c r="J30" s="383">
        <f>1000000-850000</f>
        <v>150000</v>
      </c>
      <c r="K30" s="386"/>
    </row>
    <row r="31" spans="1:12" ht="61.5" thickTop="1" thickBot="1" x14ac:dyDescent="0.25">
      <c r="B31" s="379" t="s">
        <v>251</v>
      </c>
      <c r="C31" s="379" t="s">
        <v>248</v>
      </c>
      <c r="D31" s="379" t="s">
        <v>252</v>
      </c>
      <c r="E31" s="379" t="s">
        <v>714</v>
      </c>
      <c r="F31" s="380" t="s">
        <v>783</v>
      </c>
      <c r="G31" s="384"/>
      <c r="H31" s="385"/>
      <c r="I31" s="386"/>
      <c r="J31" s="383">
        <f>(9376980)-15880+5913611+588933+174277+145723+1452531+442740</f>
        <v>18078915</v>
      </c>
      <c r="K31" s="386"/>
    </row>
    <row r="32" spans="1:12" ht="61.5" thickTop="1" thickBot="1" x14ac:dyDescent="0.25">
      <c r="B32" s="379" t="s">
        <v>251</v>
      </c>
      <c r="C32" s="379" t="s">
        <v>248</v>
      </c>
      <c r="D32" s="379" t="s">
        <v>252</v>
      </c>
      <c r="E32" s="379" t="s">
        <v>714</v>
      </c>
      <c r="F32" s="389" t="s">
        <v>590</v>
      </c>
      <c r="G32" s="387" t="s">
        <v>554</v>
      </c>
      <c r="H32" s="385">
        <v>1601935</v>
      </c>
      <c r="I32" s="386">
        <f>(71240)/H32</f>
        <v>4.4471217621189371E-2</v>
      </c>
      <c r="J32" s="383">
        <f>(700000)+797539</f>
        <v>1497539</v>
      </c>
      <c r="K32" s="386">
        <v>1</v>
      </c>
      <c r="L32" s="314" t="s">
        <v>791</v>
      </c>
    </row>
    <row r="33" spans="1:13" ht="121.5" hidden="1" thickTop="1" thickBot="1" x14ac:dyDescent="0.25">
      <c r="A33" s="390"/>
      <c r="B33" s="379" t="s">
        <v>251</v>
      </c>
      <c r="C33" s="379" t="s">
        <v>248</v>
      </c>
      <c r="D33" s="379" t="s">
        <v>252</v>
      </c>
      <c r="E33" s="379" t="s">
        <v>714</v>
      </c>
      <c r="F33" s="389" t="s">
        <v>792</v>
      </c>
      <c r="G33" s="384" t="s">
        <v>644</v>
      </c>
      <c r="H33" s="385">
        <v>450000</v>
      </c>
      <c r="I33" s="386">
        <v>0</v>
      </c>
      <c r="J33" s="385">
        <f>450000-450000</f>
        <v>0</v>
      </c>
      <c r="K33" s="386">
        <v>1</v>
      </c>
      <c r="L33" s="314"/>
    </row>
    <row r="34" spans="1:13" ht="91.5" thickTop="1" thickBot="1" x14ac:dyDescent="0.25">
      <c r="B34" s="379" t="s">
        <v>251</v>
      </c>
      <c r="C34" s="379" t="s">
        <v>248</v>
      </c>
      <c r="D34" s="379" t="s">
        <v>252</v>
      </c>
      <c r="E34" s="379" t="s">
        <v>714</v>
      </c>
      <c r="F34" s="380" t="s">
        <v>793</v>
      </c>
      <c r="G34" s="387" t="s">
        <v>554</v>
      </c>
      <c r="H34" s="385">
        <v>414023</v>
      </c>
      <c r="I34" s="386">
        <f>46883/H34</f>
        <v>0.11323767037096973</v>
      </c>
      <c r="J34" s="383">
        <v>367140</v>
      </c>
      <c r="K34" s="386">
        <f>(46883+J34)/H34</f>
        <v>1</v>
      </c>
    </row>
    <row r="35" spans="1:13" ht="61.5" thickTop="1" thickBot="1" x14ac:dyDescent="0.25">
      <c r="B35" s="379" t="s">
        <v>251</v>
      </c>
      <c r="C35" s="379" t="s">
        <v>248</v>
      </c>
      <c r="D35" s="379" t="s">
        <v>252</v>
      </c>
      <c r="E35" s="379" t="s">
        <v>714</v>
      </c>
      <c r="F35" s="389" t="s">
        <v>794</v>
      </c>
      <c r="G35" s="384" t="s">
        <v>644</v>
      </c>
      <c r="H35" s="385">
        <v>300000</v>
      </c>
      <c r="I35" s="386">
        <v>0</v>
      </c>
      <c r="J35" s="383">
        <v>300000</v>
      </c>
      <c r="K35" s="386">
        <v>1</v>
      </c>
    </row>
    <row r="36" spans="1:13" ht="61.5" thickTop="1" thickBot="1" x14ac:dyDescent="0.25">
      <c r="B36" s="379" t="s">
        <v>251</v>
      </c>
      <c r="C36" s="379" t="s">
        <v>248</v>
      </c>
      <c r="D36" s="379" t="s">
        <v>252</v>
      </c>
      <c r="E36" s="379" t="s">
        <v>714</v>
      </c>
      <c r="F36" s="389" t="s">
        <v>795</v>
      </c>
      <c r="G36" s="384" t="s">
        <v>644</v>
      </c>
      <c r="H36" s="385">
        <v>400000</v>
      </c>
      <c r="I36" s="386">
        <v>0</v>
      </c>
      <c r="J36" s="383">
        <v>400000</v>
      </c>
      <c r="K36" s="386">
        <v>1</v>
      </c>
    </row>
    <row r="37" spans="1:13" ht="61.5" thickTop="1" thickBot="1" x14ac:dyDescent="0.25">
      <c r="B37" s="379" t="s">
        <v>251</v>
      </c>
      <c r="C37" s="379" t="s">
        <v>248</v>
      </c>
      <c r="D37" s="379" t="s">
        <v>252</v>
      </c>
      <c r="E37" s="379" t="s">
        <v>714</v>
      </c>
      <c r="F37" s="389" t="s">
        <v>796</v>
      </c>
      <c r="G37" s="387" t="s">
        <v>554</v>
      </c>
      <c r="H37" s="385">
        <v>6849663</v>
      </c>
      <c r="I37" s="386">
        <f>(3991015.32/H37)*100%</f>
        <v>0.58265863882646485</v>
      </c>
      <c r="J37" s="383">
        <f>(1000000)+1858647.68</f>
        <v>2858647.6799999997</v>
      </c>
      <c r="K37" s="386">
        <f>((3991015.32+J37)/H37)*100%</f>
        <v>1</v>
      </c>
    </row>
    <row r="38" spans="1:13" ht="121.5" thickTop="1" thickBot="1" x14ac:dyDescent="0.25">
      <c r="B38" s="379" t="s">
        <v>251</v>
      </c>
      <c r="C38" s="379" t="s">
        <v>248</v>
      </c>
      <c r="D38" s="379" t="s">
        <v>252</v>
      </c>
      <c r="E38" s="379" t="s">
        <v>714</v>
      </c>
      <c r="F38" s="389" t="s">
        <v>797</v>
      </c>
      <c r="G38" s="384" t="s">
        <v>644</v>
      </c>
      <c r="H38" s="385">
        <v>604430</v>
      </c>
      <c r="I38" s="386">
        <v>0</v>
      </c>
      <c r="J38" s="385">
        <v>604430</v>
      </c>
      <c r="K38" s="386">
        <v>1</v>
      </c>
    </row>
    <row r="39" spans="1:13" ht="121.5" hidden="1" thickTop="1" thickBot="1" x14ac:dyDescent="0.25">
      <c r="B39" s="367" t="s">
        <v>251</v>
      </c>
      <c r="C39" s="367" t="s">
        <v>248</v>
      </c>
      <c r="D39" s="367" t="s">
        <v>252</v>
      </c>
      <c r="E39" s="367" t="s">
        <v>714</v>
      </c>
      <c r="F39" s="375" t="s">
        <v>798</v>
      </c>
      <c r="G39" s="371" t="s">
        <v>644</v>
      </c>
      <c r="H39" s="372">
        <v>432673</v>
      </c>
      <c r="I39" s="373">
        <v>0</v>
      </c>
      <c r="J39" s="372"/>
      <c r="K39" s="373">
        <v>1</v>
      </c>
    </row>
    <row r="40" spans="1:13" ht="61.5" thickTop="1" thickBot="1" x14ac:dyDescent="0.25">
      <c r="B40" s="379" t="s">
        <v>251</v>
      </c>
      <c r="C40" s="379" t="s">
        <v>248</v>
      </c>
      <c r="D40" s="379" t="s">
        <v>252</v>
      </c>
      <c r="E40" s="379" t="s">
        <v>714</v>
      </c>
      <c r="F40" s="389" t="s">
        <v>865</v>
      </c>
      <c r="G40" s="384" t="s">
        <v>644</v>
      </c>
      <c r="H40" s="385">
        <v>300000</v>
      </c>
      <c r="I40" s="386">
        <v>0</v>
      </c>
      <c r="J40" s="385">
        <v>300000</v>
      </c>
      <c r="K40" s="386">
        <v>1</v>
      </c>
    </row>
    <row r="41" spans="1:13" ht="61.5" thickTop="1" thickBot="1" x14ac:dyDescent="0.25">
      <c r="B41" s="379" t="s">
        <v>251</v>
      </c>
      <c r="C41" s="379" t="s">
        <v>248</v>
      </c>
      <c r="D41" s="379" t="s">
        <v>252</v>
      </c>
      <c r="E41" s="379" t="s">
        <v>714</v>
      </c>
      <c r="F41" s="389" t="s">
        <v>864</v>
      </c>
      <c r="G41" s="384" t="s">
        <v>644</v>
      </c>
      <c r="H41" s="385">
        <v>299873</v>
      </c>
      <c r="I41" s="386">
        <v>0</v>
      </c>
      <c r="J41" s="385">
        <v>299873</v>
      </c>
      <c r="K41" s="386">
        <v>1</v>
      </c>
    </row>
    <row r="42" spans="1:13" ht="61.5" hidden="1" thickTop="1" thickBot="1" x14ac:dyDescent="0.25">
      <c r="B42" s="379" t="s">
        <v>251</v>
      </c>
      <c r="C42" s="379" t="s">
        <v>248</v>
      </c>
      <c r="D42" s="379" t="s">
        <v>252</v>
      </c>
      <c r="E42" s="379" t="s">
        <v>714</v>
      </c>
      <c r="F42" s="380" t="s">
        <v>866</v>
      </c>
      <c r="G42" s="384" t="s">
        <v>644</v>
      </c>
      <c r="H42" s="385"/>
      <c r="I42" s="386"/>
      <c r="J42" s="385">
        <f>70000-70000</f>
        <v>0</v>
      </c>
      <c r="K42" s="386"/>
    </row>
    <row r="43" spans="1:13" ht="61.5" thickTop="1" thickBot="1" x14ac:dyDescent="0.25">
      <c r="B43" s="379" t="s">
        <v>251</v>
      </c>
      <c r="C43" s="379" t="s">
        <v>248</v>
      </c>
      <c r="D43" s="379" t="s">
        <v>252</v>
      </c>
      <c r="E43" s="379" t="s">
        <v>714</v>
      </c>
      <c r="F43" s="389" t="s">
        <v>880</v>
      </c>
      <c r="G43" s="387" t="s">
        <v>554</v>
      </c>
      <c r="H43" s="385">
        <v>1615339</v>
      </c>
      <c r="I43" s="386">
        <f>(100500/H43)</f>
        <v>6.2216042576821333E-2</v>
      </c>
      <c r="J43" s="383">
        <f>(300000)+1150000</f>
        <v>1450000</v>
      </c>
      <c r="K43" s="386">
        <v>1</v>
      </c>
    </row>
    <row r="44" spans="1:13" ht="91.5" thickTop="1" thickBot="1" x14ac:dyDescent="0.25">
      <c r="B44" s="379" t="s">
        <v>251</v>
      </c>
      <c r="C44" s="379" t="s">
        <v>248</v>
      </c>
      <c r="D44" s="379" t="s">
        <v>252</v>
      </c>
      <c r="E44" s="379" t="s">
        <v>714</v>
      </c>
      <c r="F44" s="389" t="s">
        <v>799</v>
      </c>
      <c r="G44" s="384" t="s">
        <v>644</v>
      </c>
      <c r="H44" s="385">
        <v>331648</v>
      </c>
      <c r="I44" s="386">
        <v>0</v>
      </c>
      <c r="J44" s="385">
        <v>331648</v>
      </c>
      <c r="K44" s="386">
        <v>1</v>
      </c>
    </row>
    <row r="45" spans="1:13" ht="136.5" thickTop="1" thickBot="1" x14ac:dyDescent="0.25">
      <c r="B45" s="379" t="s">
        <v>251</v>
      </c>
      <c r="C45" s="379" t="s">
        <v>248</v>
      </c>
      <c r="D45" s="379" t="s">
        <v>252</v>
      </c>
      <c r="E45" s="379" t="s">
        <v>714</v>
      </c>
      <c r="F45" s="389" t="s">
        <v>800</v>
      </c>
      <c r="G45" s="387" t="s">
        <v>542</v>
      </c>
      <c r="H45" s="385">
        <v>4810722</v>
      </c>
      <c r="I45" s="386">
        <f>(3944592.36/H45)*100%</f>
        <v>0.81995849271689358</v>
      </c>
      <c r="J45" s="383">
        <f>(500000)+366129.64</f>
        <v>866129.64</v>
      </c>
      <c r="K45" s="386">
        <f>((3944592.36+J45)/H45)*100%</f>
        <v>1</v>
      </c>
    </row>
    <row r="46" spans="1:13" ht="91.5" thickTop="1" thickBot="1" x14ac:dyDescent="0.25">
      <c r="B46" s="379" t="s">
        <v>251</v>
      </c>
      <c r="C46" s="379" t="s">
        <v>248</v>
      </c>
      <c r="D46" s="379" t="s">
        <v>252</v>
      </c>
      <c r="E46" s="379" t="s">
        <v>714</v>
      </c>
      <c r="F46" s="389" t="s">
        <v>801</v>
      </c>
      <c r="G46" s="387" t="s">
        <v>554</v>
      </c>
      <c r="H46" s="385">
        <v>1414079</v>
      </c>
      <c r="I46" s="386">
        <f>(15823.75/H46)</f>
        <v>1.1190145670786427E-2</v>
      </c>
      <c r="J46" s="383">
        <v>900000</v>
      </c>
      <c r="K46" s="386">
        <v>1</v>
      </c>
    </row>
    <row r="47" spans="1:13" ht="91.5" thickTop="1" thickBot="1" x14ac:dyDescent="0.25">
      <c r="B47" s="379" t="s">
        <v>251</v>
      </c>
      <c r="C47" s="379" t="s">
        <v>248</v>
      </c>
      <c r="D47" s="379" t="s">
        <v>252</v>
      </c>
      <c r="E47" s="379" t="s">
        <v>714</v>
      </c>
      <c r="F47" s="389" t="s">
        <v>802</v>
      </c>
      <c r="G47" s="384" t="s">
        <v>644</v>
      </c>
      <c r="H47" s="385">
        <v>1000000</v>
      </c>
      <c r="I47" s="386">
        <v>0</v>
      </c>
      <c r="J47" s="383">
        <f>(300000)</f>
        <v>300000</v>
      </c>
      <c r="K47" s="386">
        <f>J47/H47*100%</f>
        <v>0.3</v>
      </c>
    </row>
    <row r="48" spans="1:13" ht="136.5" thickTop="1" thickBot="1" x14ac:dyDescent="0.25">
      <c r="A48" s="390"/>
      <c r="B48" s="379" t="s">
        <v>251</v>
      </c>
      <c r="C48" s="379" t="s">
        <v>248</v>
      </c>
      <c r="D48" s="379" t="s">
        <v>252</v>
      </c>
      <c r="E48" s="379" t="s">
        <v>714</v>
      </c>
      <c r="F48" s="389" t="s">
        <v>803</v>
      </c>
      <c r="G48" s="384" t="s">
        <v>644</v>
      </c>
      <c r="H48" s="385">
        <v>1490878</v>
      </c>
      <c r="I48" s="386">
        <v>0</v>
      </c>
      <c r="J48" s="383">
        <f>(700000)+790878</f>
        <v>1490878</v>
      </c>
      <c r="K48" s="386">
        <f>J48/H48</f>
        <v>1</v>
      </c>
      <c r="L48" s="314"/>
      <c r="M48" s="361"/>
    </row>
    <row r="49" spans="1:13" ht="136.5" thickTop="1" thickBot="1" x14ac:dyDescent="0.25">
      <c r="B49" s="379" t="s">
        <v>251</v>
      </c>
      <c r="C49" s="379" t="s">
        <v>248</v>
      </c>
      <c r="D49" s="379" t="s">
        <v>252</v>
      </c>
      <c r="E49" s="379" t="s">
        <v>714</v>
      </c>
      <c r="F49" s="389" t="s">
        <v>804</v>
      </c>
      <c r="G49" s="384" t="s">
        <v>644</v>
      </c>
      <c r="H49" s="385">
        <v>1500000</v>
      </c>
      <c r="I49" s="386">
        <v>0</v>
      </c>
      <c r="J49" s="383">
        <f>(700000)+800000</f>
        <v>1500000</v>
      </c>
      <c r="K49" s="386">
        <f>J49/H49</f>
        <v>1</v>
      </c>
    </row>
    <row r="50" spans="1:13" ht="136.5" hidden="1" thickTop="1" thickBot="1" x14ac:dyDescent="0.25">
      <c r="B50" s="367" t="s">
        <v>251</v>
      </c>
      <c r="C50" s="367" t="s">
        <v>248</v>
      </c>
      <c r="D50" s="367" t="s">
        <v>252</v>
      </c>
      <c r="E50" s="367" t="s">
        <v>714</v>
      </c>
      <c r="F50" s="375" t="s">
        <v>805</v>
      </c>
      <c r="G50" s="371"/>
      <c r="H50" s="372"/>
      <c r="I50" s="373"/>
      <c r="J50" s="362"/>
      <c r="K50" s="373"/>
    </row>
    <row r="51" spans="1:13" ht="151.5" thickTop="1" thickBot="1" x14ac:dyDescent="0.25">
      <c r="A51" s="390"/>
      <c r="B51" s="379" t="s">
        <v>251</v>
      </c>
      <c r="C51" s="379" t="s">
        <v>248</v>
      </c>
      <c r="D51" s="379" t="s">
        <v>252</v>
      </c>
      <c r="E51" s="379" t="s">
        <v>714</v>
      </c>
      <c r="F51" s="389" t="s">
        <v>881</v>
      </c>
      <c r="G51" s="384" t="s">
        <v>644</v>
      </c>
      <c r="H51" s="385">
        <v>1489695</v>
      </c>
      <c r="I51" s="386">
        <v>0</v>
      </c>
      <c r="J51" s="383">
        <f>(700000)+789695</f>
        <v>1489695</v>
      </c>
      <c r="K51" s="386">
        <f>J51/H51</f>
        <v>1</v>
      </c>
      <c r="L51" s="314"/>
      <c r="M51" s="361"/>
    </row>
    <row r="52" spans="1:13" ht="91.5" thickTop="1" thickBot="1" x14ac:dyDescent="0.25">
      <c r="A52" s="390"/>
      <c r="B52" s="379" t="s">
        <v>251</v>
      </c>
      <c r="C52" s="379" t="s">
        <v>248</v>
      </c>
      <c r="D52" s="379" t="s">
        <v>252</v>
      </c>
      <c r="E52" s="379" t="s">
        <v>714</v>
      </c>
      <c r="F52" s="389" t="s">
        <v>913</v>
      </c>
      <c r="G52" s="387" t="s">
        <v>554</v>
      </c>
      <c r="H52" s="385">
        <v>1499056</v>
      </c>
      <c r="I52" s="386">
        <f>1281636.5/H52</f>
        <v>0.85496238966389515</v>
      </c>
      <c r="J52" s="383">
        <f>1499056-1281636.5</f>
        <v>217419.5</v>
      </c>
      <c r="K52" s="386">
        <f>(1281636.5+J52)/H52</f>
        <v>1</v>
      </c>
      <c r="L52" s="314"/>
      <c r="M52" s="361"/>
    </row>
    <row r="53" spans="1:13" ht="136.5" thickTop="1" thickBot="1" x14ac:dyDescent="0.25">
      <c r="A53" s="390"/>
      <c r="B53" s="379" t="s">
        <v>251</v>
      </c>
      <c r="C53" s="379" t="s">
        <v>248</v>
      </c>
      <c r="D53" s="379" t="s">
        <v>252</v>
      </c>
      <c r="E53" s="379" t="s">
        <v>714</v>
      </c>
      <c r="F53" s="389" t="s">
        <v>806</v>
      </c>
      <c r="G53" s="384" t="s">
        <v>644</v>
      </c>
      <c r="H53" s="385">
        <v>1498929</v>
      </c>
      <c r="I53" s="386">
        <v>0</v>
      </c>
      <c r="J53" s="383">
        <f>(60000)</f>
        <v>60000</v>
      </c>
      <c r="K53" s="386">
        <f>J53/H53</f>
        <v>4.0028580406410177E-2</v>
      </c>
      <c r="L53" s="314"/>
      <c r="M53" s="361"/>
    </row>
    <row r="54" spans="1:13" ht="76.5" thickTop="1" thickBot="1" x14ac:dyDescent="0.25">
      <c r="B54" s="379" t="s">
        <v>716</v>
      </c>
      <c r="C54" s="379" t="s">
        <v>253</v>
      </c>
      <c r="D54" s="379" t="s">
        <v>255</v>
      </c>
      <c r="E54" s="379" t="s">
        <v>715</v>
      </c>
      <c r="F54" s="380" t="s">
        <v>783</v>
      </c>
      <c r="G54" s="387"/>
      <c r="H54" s="385"/>
      <c r="I54" s="388"/>
      <c r="J54" s="383">
        <f>(32000)+16250+1849+548+19452</f>
        <v>70099</v>
      </c>
      <c r="K54" s="383"/>
    </row>
    <row r="55" spans="1:13" ht="46.5" thickTop="1" thickBot="1" x14ac:dyDescent="0.25">
      <c r="B55" s="379" t="s">
        <v>256</v>
      </c>
      <c r="C55" s="379" t="s">
        <v>239</v>
      </c>
      <c r="D55" s="379" t="s">
        <v>228</v>
      </c>
      <c r="E55" s="379" t="s">
        <v>717</v>
      </c>
      <c r="F55" s="380" t="s">
        <v>783</v>
      </c>
      <c r="G55" s="387"/>
      <c r="H55" s="385"/>
      <c r="I55" s="388"/>
      <c r="J55" s="383">
        <v>619000</v>
      </c>
      <c r="K55" s="383"/>
    </row>
    <row r="56" spans="1:13" ht="76.5" thickTop="1" thickBot="1" x14ac:dyDescent="0.25">
      <c r="B56" s="379" t="s">
        <v>256</v>
      </c>
      <c r="C56" s="379" t="s">
        <v>239</v>
      </c>
      <c r="D56" s="379" t="s">
        <v>228</v>
      </c>
      <c r="E56" s="379" t="s">
        <v>717</v>
      </c>
      <c r="F56" s="380" t="s">
        <v>807</v>
      </c>
      <c r="G56" s="387" t="s">
        <v>808</v>
      </c>
      <c r="H56" s="385">
        <v>15246271</v>
      </c>
      <c r="I56" s="386">
        <f>(10870900.41)/H56</f>
        <v>0.71302027951621749</v>
      </c>
      <c r="J56" s="383">
        <f>(1000000)+2000000</f>
        <v>3000000</v>
      </c>
      <c r="K56" s="386">
        <f>(10870900.41+J56)/H56</f>
        <v>0.90978970595498398</v>
      </c>
    </row>
    <row r="57" spans="1:13" ht="76.5" thickTop="1" thickBot="1" x14ac:dyDescent="0.25">
      <c r="B57" s="379" t="s">
        <v>256</v>
      </c>
      <c r="C57" s="379" t="s">
        <v>239</v>
      </c>
      <c r="D57" s="379" t="s">
        <v>228</v>
      </c>
      <c r="E57" s="379" t="s">
        <v>717</v>
      </c>
      <c r="F57" s="380" t="s">
        <v>809</v>
      </c>
      <c r="G57" s="384" t="s">
        <v>644</v>
      </c>
      <c r="H57" s="385">
        <v>1500000</v>
      </c>
      <c r="I57" s="386">
        <v>0</v>
      </c>
      <c r="J57" s="383">
        <v>1500000</v>
      </c>
      <c r="K57" s="386">
        <f>J57/H57</f>
        <v>1</v>
      </c>
    </row>
    <row r="58" spans="1:13" ht="106.5" hidden="1" thickTop="1" thickBot="1" x14ac:dyDescent="0.25">
      <c r="B58" s="367" t="s">
        <v>256</v>
      </c>
      <c r="C58" s="367" t="s">
        <v>239</v>
      </c>
      <c r="D58" s="367" t="s">
        <v>228</v>
      </c>
      <c r="E58" s="367" t="s">
        <v>717</v>
      </c>
      <c r="F58" s="368" t="s">
        <v>810</v>
      </c>
      <c r="G58" s="371"/>
      <c r="H58" s="372"/>
      <c r="I58" s="373"/>
      <c r="J58" s="362"/>
      <c r="K58" s="373"/>
    </row>
    <row r="59" spans="1:13" ht="76.5" hidden="1" thickTop="1" thickBot="1" x14ac:dyDescent="0.25">
      <c r="B59" s="367" t="s">
        <v>257</v>
      </c>
      <c r="C59" s="367" t="s">
        <v>258</v>
      </c>
      <c r="D59" s="367" t="s">
        <v>259</v>
      </c>
      <c r="E59" s="367" t="s">
        <v>719</v>
      </c>
      <c r="F59" s="368" t="s">
        <v>811</v>
      </c>
      <c r="G59" s="374" t="s">
        <v>542</v>
      </c>
      <c r="H59" s="372">
        <v>4786834</v>
      </c>
      <c r="I59" s="373">
        <f>199700/H59</f>
        <v>4.1718597302517695E-2</v>
      </c>
      <c r="J59" s="362"/>
      <c r="K59" s="373">
        <f>(J59+3184862)/H59</f>
        <v>0.66533788303500807</v>
      </c>
      <c r="L59" s="314" t="s">
        <v>812</v>
      </c>
    </row>
    <row r="60" spans="1:13" ht="31.5" hidden="1" thickTop="1" thickBot="1" x14ac:dyDescent="0.25">
      <c r="B60" s="367" t="s">
        <v>390</v>
      </c>
      <c r="C60" s="367" t="s">
        <v>391</v>
      </c>
      <c r="D60" s="367" t="s">
        <v>262</v>
      </c>
      <c r="E60" s="367" t="s">
        <v>721</v>
      </c>
      <c r="F60" s="368" t="s">
        <v>783</v>
      </c>
      <c r="G60" s="374"/>
      <c r="H60" s="372"/>
      <c r="I60" s="373"/>
      <c r="J60" s="362"/>
      <c r="K60" s="373"/>
      <c r="L60" s="314"/>
    </row>
    <row r="61" spans="1:13" ht="16.5" thickTop="1" thickBot="1" x14ac:dyDescent="0.25">
      <c r="B61" s="379" t="s">
        <v>769</v>
      </c>
      <c r="C61" s="379" t="s">
        <v>264</v>
      </c>
      <c r="D61" s="379" t="s">
        <v>265</v>
      </c>
      <c r="E61" s="379" t="s">
        <v>53</v>
      </c>
      <c r="F61" s="380" t="s">
        <v>878</v>
      </c>
      <c r="G61" s="387" t="s">
        <v>500</v>
      </c>
      <c r="H61" s="385">
        <v>23948149.890000001</v>
      </c>
      <c r="I61" s="386">
        <f>22955659.01/H61</f>
        <v>0.95855667830046309</v>
      </c>
      <c r="J61" s="383">
        <v>992490.88</v>
      </c>
      <c r="K61" s="386">
        <v>1</v>
      </c>
      <c r="L61" s="314"/>
    </row>
    <row r="62" spans="1:13" ht="46.5" thickTop="1" thickBot="1" x14ac:dyDescent="0.25">
      <c r="B62" s="421" t="s">
        <v>196</v>
      </c>
      <c r="C62" s="421"/>
      <c r="D62" s="421"/>
      <c r="E62" s="422" t="s">
        <v>22</v>
      </c>
      <c r="F62" s="421"/>
      <c r="G62" s="421"/>
      <c r="H62" s="421"/>
      <c r="I62" s="421"/>
      <c r="J62" s="423">
        <f>J63</f>
        <v>29041907.600000001</v>
      </c>
      <c r="K62" s="421"/>
    </row>
    <row r="63" spans="1:13" ht="44.25" thickTop="1" thickBot="1" x14ac:dyDescent="0.25">
      <c r="B63" s="424" t="s">
        <v>197</v>
      </c>
      <c r="C63" s="424"/>
      <c r="D63" s="424"/>
      <c r="E63" s="425" t="s">
        <v>45</v>
      </c>
      <c r="F63" s="424"/>
      <c r="G63" s="424"/>
      <c r="H63" s="424"/>
      <c r="I63" s="424"/>
      <c r="J63" s="426">
        <f>SUM(J64:J73)</f>
        <v>29041907.600000001</v>
      </c>
      <c r="K63" s="424"/>
    </row>
    <row r="64" spans="1:13" ht="31.5" thickTop="1" thickBot="1" x14ac:dyDescent="0.25">
      <c r="B64" s="379" t="s">
        <v>266</v>
      </c>
      <c r="C64" s="379" t="s">
        <v>263</v>
      </c>
      <c r="D64" s="379" t="s">
        <v>267</v>
      </c>
      <c r="E64" s="379" t="s">
        <v>23</v>
      </c>
      <c r="F64" s="391" t="s">
        <v>783</v>
      </c>
      <c r="G64" s="392"/>
      <c r="H64" s="392"/>
      <c r="I64" s="392"/>
      <c r="J64" s="393">
        <f>(12800000)-610000-2102890</f>
        <v>10087110</v>
      </c>
      <c r="K64" s="392"/>
    </row>
    <row r="65" spans="1:11" ht="91.5" thickTop="1" thickBot="1" x14ac:dyDescent="0.25">
      <c r="A65" s="390"/>
      <c r="B65" s="379" t="s">
        <v>566</v>
      </c>
      <c r="C65" s="379" t="s">
        <v>245</v>
      </c>
      <c r="D65" s="379" t="s">
        <v>212</v>
      </c>
      <c r="E65" s="379" t="s">
        <v>43</v>
      </c>
      <c r="F65" s="394" t="s">
        <v>813</v>
      </c>
      <c r="G65" s="387"/>
      <c r="H65" s="385"/>
      <c r="I65" s="384"/>
      <c r="J65" s="383">
        <f>3560300+358852</f>
        <v>3919152</v>
      </c>
      <c r="K65" s="383"/>
    </row>
    <row r="66" spans="1:11" ht="136.5" thickTop="1" thickBot="1" x14ac:dyDescent="0.25">
      <c r="A66" s="390"/>
      <c r="B66" s="379" t="s">
        <v>566</v>
      </c>
      <c r="C66" s="379" t="s">
        <v>245</v>
      </c>
      <c r="D66" s="379" t="s">
        <v>212</v>
      </c>
      <c r="E66" s="379" t="s">
        <v>43</v>
      </c>
      <c r="F66" s="394" t="s">
        <v>877</v>
      </c>
      <c r="G66" s="384" t="s">
        <v>644</v>
      </c>
      <c r="H66" s="385">
        <v>457500</v>
      </c>
      <c r="I66" s="386">
        <v>0</v>
      </c>
      <c r="J66" s="383">
        <v>457500</v>
      </c>
      <c r="K66" s="386">
        <f>(J66)/H66</f>
        <v>1</v>
      </c>
    </row>
    <row r="67" spans="1:11" ht="121.5" thickTop="1" thickBot="1" x14ac:dyDescent="0.25">
      <c r="B67" s="379" t="s">
        <v>566</v>
      </c>
      <c r="C67" s="379" t="s">
        <v>245</v>
      </c>
      <c r="D67" s="379" t="s">
        <v>212</v>
      </c>
      <c r="E67" s="379" t="s">
        <v>43</v>
      </c>
      <c r="F67" s="389" t="s">
        <v>814</v>
      </c>
      <c r="G67" s="387" t="s">
        <v>554</v>
      </c>
      <c r="H67" s="385">
        <v>8340131</v>
      </c>
      <c r="I67" s="386">
        <f>(1589999.97)/H67</f>
        <v>0.1906444838816081</v>
      </c>
      <c r="J67" s="383">
        <f>(3250100)+3257900</f>
        <v>6508000</v>
      </c>
      <c r="K67" s="386">
        <v>1</v>
      </c>
    </row>
    <row r="68" spans="1:11" ht="91.5" thickTop="1" thickBot="1" x14ac:dyDescent="0.25">
      <c r="B68" s="379" t="s">
        <v>566</v>
      </c>
      <c r="C68" s="379" t="s">
        <v>245</v>
      </c>
      <c r="D68" s="379" t="s">
        <v>212</v>
      </c>
      <c r="E68" s="379" t="s">
        <v>43</v>
      </c>
      <c r="F68" s="394" t="s">
        <v>815</v>
      </c>
      <c r="G68" s="387"/>
      <c r="H68" s="385"/>
      <c r="I68" s="384"/>
      <c r="J68" s="383">
        <f>(3288000)+139000+175000-124600-21000</f>
        <v>3456400</v>
      </c>
      <c r="K68" s="383"/>
    </row>
    <row r="69" spans="1:11" ht="91.5" thickTop="1" thickBot="1" x14ac:dyDescent="0.25">
      <c r="B69" s="379" t="s">
        <v>566</v>
      </c>
      <c r="C69" s="379" t="s">
        <v>245</v>
      </c>
      <c r="D69" s="379" t="s">
        <v>212</v>
      </c>
      <c r="E69" s="379" t="s">
        <v>43</v>
      </c>
      <c r="F69" s="394" t="s">
        <v>867</v>
      </c>
      <c r="G69" s="384"/>
      <c r="H69" s="385"/>
      <c r="I69" s="386"/>
      <c r="J69" s="383">
        <v>731270</v>
      </c>
      <c r="K69" s="386"/>
    </row>
    <row r="70" spans="1:11" ht="136.5" thickTop="1" thickBot="1" x14ac:dyDescent="0.25">
      <c r="B70" s="379" t="s">
        <v>566</v>
      </c>
      <c r="C70" s="379" t="s">
        <v>245</v>
      </c>
      <c r="D70" s="379" t="s">
        <v>212</v>
      </c>
      <c r="E70" s="379" t="s">
        <v>43</v>
      </c>
      <c r="F70" s="394" t="s">
        <v>816</v>
      </c>
      <c r="G70" s="384" t="s">
        <v>644</v>
      </c>
      <c r="H70" s="385">
        <v>300000</v>
      </c>
      <c r="I70" s="386">
        <v>0</v>
      </c>
      <c r="J70" s="383">
        <v>300000</v>
      </c>
      <c r="K70" s="386">
        <f>(J70)/H70</f>
        <v>1</v>
      </c>
    </row>
    <row r="71" spans="1:11" ht="151.5" hidden="1" thickTop="1" thickBot="1" x14ac:dyDescent="0.25">
      <c r="B71" s="367" t="s">
        <v>566</v>
      </c>
      <c r="C71" s="367" t="s">
        <v>245</v>
      </c>
      <c r="D71" s="367" t="s">
        <v>212</v>
      </c>
      <c r="E71" s="367" t="s">
        <v>43</v>
      </c>
      <c r="F71" s="376" t="s">
        <v>817</v>
      </c>
      <c r="G71" s="371" t="s">
        <v>644</v>
      </c>
      <c r="H71" s="372">
        <v>100000</v>
      </c>
      <c r="I71" s="373">
        <v>0</v>
      </c>
      <c r="J71" s="362"/>
      <c r="K71" s="373">
        <f t="shared" ref="K71" si="0">(J71)/H71</f>
        <v>0</v>
      </c>
    </row>
    <row r="72" spans="1:11" ht="91.5" thickTop="1" thickBot="1" x14ac:dyDescent="0.25">
      <c r="B72" s="379" t="s">
        <v>566</v>
      </c>
      <c r="C72" s="379" t="s">
        <v>245</v>
      </c>
      <c r="D72" s="379" t="s">
        <v>212</v>
      </c>
      <c r="E72" s="379" t="s">
        <v>43</v>
      </c>
      <c r="F72" s="394" t="s">
        <v>818</v>
      </c>
      <c r="G72" s="387"/>
      <c r="H72" s="385"/>
      <c r="I72" s="384"/>
      <c r="J72" s="383">
        <f>(820200)+10000+15500-109985+109985-111024.4+28000</f>
        <v>762675.6</v>
      </c>
      <c r="K72" s="383"/>
    </row>
    <row r="73" spans="1:11" ht="106.5" thickTop="1" thickBot="1" x14ac:dyDescent="0.25">
      <c r="B73" s="379" t="s">
        <v>566</v>
      </c>
      <c r="C73" s="379" t="s">
        <v>245</v>
      </c>
      <c r="D73" s="379" t="s">
        <v>212</v>
      </c>
      <c r="E73" s="379" t="s">
        <v>43</v>
      </c>
      <c r="F73" s="394" t="s">
        <v>819</v>
      </c>
      <c r="G73" s="387"/>
      <c r="H73" s="385"/>
      <c r="I73" s="384"/>
      <c r="J73" s="383">
        <f>2846000-26200</f>
        <v>2819800</v>
      </c>
      <c r="K73" s="383"/>
    </row>
    <row r="74" spans="1:11" ht="46.5" thickTop="1" thickBot="1" x14ac:dyDescent="0.25">
      <c r="B74" s="421" t="s">
        <v>198</v>
      </c>
      <c r="C74" s="421"/>
      <c r="D74" s="421"/>
      <c r="E74" s="422" t="s">
        <v>46</v>
      </c>
      <c r="F74" s="421"/>
      <c r="G74" s="421"/>
      <c r="H74" s="421"/>
      <c r="I74" s="421"/>
      <c r="J74" s="423">
        <f>J75</f>
        <v>11510999</v>
      </c>
      <c r="K74" s="421"/>
    </row>
    <row r="75" spans="1:11" ht="58.5" thickTop="1" thickBot="1" x14ac:dyDescent="0.25">
      <c r="B75" s="424" t="s">
        <v>199</v>
      </c>
      <c r="C75" s="424"/>
      <c r="D75" s="424"/>
      <c r="E75" s="425" t="s">
        <v>47</v>
      </c>
      <c r="F75" s="424"/>
      <c r="G75" s="424"/>
      <c r="H75" s="424"/>
      <c r="I75" s="424"/>
      <c r="J75" s="426">
        <f>SUM(J76:J88)</f>
        <v>11510999</v>
      </c>
      <c r="K75" s="424"/>
    </row>
    <row r="76" spans="1:11" ht="46.5" thickTop="1" thickBot="1" x14ac:dyDescent="0.25">
      <c r="B76" s="379" t="s">
        <v>516</v>
      </c>
      <c r="C76" s="379" t="s">
        <v>288</v>
      </c>
      <c r="D76" s="379" t="s">
        <v>286</v>
      </c>
      <c r="E76" s="379" t="s">
        <v>287</v>
      </c>
      <c r="F76" s="394" t="s">
        <v>783</v>
      </c>
      <c r="G76" s="387"/>
      <c r="H76" s="385"/>
      <c r="I76" s="384"/>
      <c r="J76" s="385">
        <f>(500000)</f>
        <v>500000</v>
      </c>
      <c r="K76" s="385"/>
    </row>
    <row r="77" spans="1:11" ht="76.5" thickTop="1" thickBot="1" x14ac:dyDescent="0.25">
      <c r="B77" s="379" t="s">
        <v>516</v>
      </c>
      <c r="C77" s="379" t="s">
        <v>288</v>
      </c>
      <c r="D77" s="379" t="s">
        <v>286</v>
      </c>
      <c r="E77" s="379" t="s">
        <v>287</v>
      </c>
      <c r="F77" s="394" t="s">
        <v>868</v>
      </c>
      <c r="G77" s="387" t="s">
        <v>554</v>
      </c>
      <c r="H77" s="385">
        <v>400000</v>
      </c>
      <c r="I77" s="386">
        <v>0</v>
      </c>
      <c r="J77" s="388">
        <v>400000</v>
      </c>
      <c r="K77" s="386">
        <v>1</v>
      </c>
    </row>
    <row r="78" spans="1:11" ht="31.5" thickTop="1" thickBot="1" x14ac:dyDescent="0.25">
      <c r="B78" s="379" t="s">
        <v>322</v>
      </c>
      <c r="C78" s="379" t="s">
        <v>323</v>
      </c>
      <c r="D78" s="379" t="s">
        <v>253</v>
      </c>
      <c r="E78" s="395" t="s">
        <v>324</v>
      </c>
      <c r="F78" s="380" t="s">
        <v>820</v>
      </c>
      <c r="G78" s="384" t="s">
        <v>644</v>
      </c>
      <c r="H78" s="396"/>
      <c r="I78" s="397"/>
      <c r="J78" s="383">
        <f>(100000)+50000</f>
        <v>150000</v>
      </c>
      <c r="K78" s="386">
        <v>1</v>
      </c>
    </row>
    <row r="79" spans="1:11" ht="61.5" hidden="1" thickTop="1" thickBot="1" x14ac:dyDescent="0.25">
      <c r="B79" s="367" t="s">
        <v>320</v>
      </c>
      <c r="C79" s="367" t="s">
        <v>318</v>
      </c>
      <c r="D79" s="367" t="s">
        <v>248</v>
      </c>
      <c r="E79" s="367" t="s">
        <v>21</v>
      </c>
      <c r="F79" s="376" t="s">
        <v>783</v>
      </c>
      <c r="G79" s="371"/>
      <c r="H79" s="377"/>
      <c r="I79" s="378"/>
      <c r="J79" s="362"/>
      <c r="K79" s="373"/>
    </row>
    <row r="80" spans="1:11" ht="31.5" thickTop="1" thickBot="1" x14ac:dyDescent="0.25">
      <c r="B80" s="379" t="s">
        <v>321</v>
      </c>
      <c r="C80" s="379" t="s">
        <v>319</v>
      </c>
      <c r="D80" s="379" t="s">
        <v>247</v>
      </c>
      <c r="E80" s="379" t="s">
        <v>609</v>
      </c>
      <c r="F80" s="394" t="s">
        <v>783</v>
      </c>
      <c r="G80" s="387"/>
      <c r="H80" s="385"/>
      <c r="I80" s="384"/>
      <c r="J80" s="385">
        <f>(15000)+69800</f>
        <v>84800</v>
      </c>
      <c r="K80" s="385"/>
    </row>
    <row r="81" spans="1:12" ht="46.5" thickTop="1" thickBot="1" x14ac:dyDescent="0.25">
      <c r="B81" s="379" t="s">
        <v>400</v>
      </c>
      <c r="C81" s="379" t="s">
        <v>402</v>
      </c>
      <c r="D81" s="379" t="s">
        <v>239</v>
      </c>
      <c r="E81" s="391" t="s">
        <v>404</v>
      </c>
      <c r="F81" s="394" t="s">
        <v>783</v>
      </c>
      <c r="G81" s="383"/>
      <c r="H81" s="383"/>
      <c r="I81" s="398"/>
      <c r="J81" s="385">
        <f>(62500)+94620</f>
        <v>157120</v>
      </c>
      <c r="K81" s="385"/>
    </row>
    <row r="82" spans="1:12" ht="76.5" thickTop="1" thickBot="1" x14ac:dyDescent="0.25">
      <c r="B82" s="379" t="s">
        <v>400</v>
      </c>
      <c r="C82" s="379" t="s">
        <v>402</v>
      </c>
      <c r="D82" s="379" t="s">
        <v>239</v>
      </c>
      <c r="E82" s="391" t="s">
        <v>404</v>
      </c>
      <c r="F82" s="394" t="s">
        <v>821</v>
      </c>
      <c r="G82" s="384" t="s">
        <v>644</v>
      </c>
      <c r="H82" s="383">
        <v>1498897</v>
      </c>
      <c r="I82" s="386">
        <v>0</v>
      </c>
      <c r="J82" s="385">
        <f>(525000)+973897</f>
        <v>1498897</v>
      </c>
      <c r="K82" s="386">
        <f>J82/H82</f>
        <v>1</v>
      </c>
    </row>
    <row r="83" spans="1:12" ht="76.5" thickTop="1" thickBot="1" x14ac:dyDescent="0.25">
      <c r="B83" s="379" t="s">
        <v>400</v>
      </c>
      <c r="C83" s="379" t="s">
        <v>402</v>
      </c>
      <c r="D83" s="379" t="s">
        <v>239</v>
      </c>
      <c r="E83" s="391" t="s">
        <v>404</v>
      </c>
      <c r="F83" s="394" t="s">
        <v>822</v>
      </c>
      <c r="G83" s="384" t="s">
        <v>644</v>
      </c>
      <c r="H83" s="383">
        <v>1217131</v>
      </c>
      <c r="I83" s="386">
        <v>0</v>
      </c>
      <c r="J83" s="385">
        <f>(396000)+821131</f>
        <v>1217131</v>
      </c>
      <c r="K83" s="386">
        <f>J83/H83</f>
        <v>1</v>
      </c>
    </row>
    <row r="84" spans="1:12" ht="76.5" thickTop="1" thickBot="1" x14ac:dyDescent="0.25">
      <c r="B84" s="379" t="s">
        <v>400</v>
      </c>
      <c r="C84" s="379" t="s">
        <v>402</v>
      </c>
      <c r="D84" s="379" t="s">
        <v>239</v>
      </c>
      <c r="E84" s="391" t="s">
        <v>404</v>
      </c>
      <c r="F84" s="394" t="s">
        <v>823</v>
      </c>
      <c r="G84" s="385" t="s">
        <v>554</v>
      </c>
      <c r="H84" s="383">
        <f>1113815.39+53051</f>
        <v>1166866.3899999999</v>
      </c>
      <c r="I84" s="386">
        <f>1113815.39/H84</f>
        <v>0.95453549741886046</v>
      </c>
      <c r="J84" s="385">
        <v>53051</v>
      </c>
      <c r="K84" s="386">
        <f>(1113815.39+J84)/H84</f>
        <v>1</v>
      </c>
    </row>
    <row r="85" spans="1:12" ht="31.5" thickTop="1" thickBot="1" x14ac:dyDescent="0.25">
      <c r="B85" s="379" t="s">
        <v>401</v>
      </c>
      <c r="C85" s="379" t="s">
        <v>403</v>
      </c>
      <c r="D85" s="379" t="s">
        <v>239</v>
      </c>
      <c r="E85" s="391" t="s">
        <v>405</v>
      </c>
      <c r="F85" s="389" t="s">
        <v>664</v>
      </c>
      <c r="G85" s="384" t="s">
        <v>644</v>
      </c>
      <c r="H85" s="383"/>
      <c r="I85" s="383"/>
      <c r="J85" s="385">
        <v>300000</v>
      </c>
      <c r="K85" s="386">
        <v>1</v>
      </c>
    </row>
    <row r="86" spans="1:12" ht="31.5" thickTop="1" thickBot="1" x14ac:dyDescent="0.25">
      <c r="B86" s="379" t="s">
        <v>401</v>
      </c>
      <c r="C86" s="379" t="s">
        <v>403</v>
      </c>
      <c r="D86" s="379" t="s">
        <v>239</v>
      </c>
      <c r="E86" s="391" t="s">
        <v>405</v>
      </c>
      <c r="F86" s="380" t="s">
        <v>820</v>
      </c>
      <c r="G86" s="384" t="s">
        <v>644</v>
      </c>
      <c r="H86" s="383"/>
      <c r="I86" s="398"/>
      <c r="J86" s="385">
        <v>150000</v>
      </c>
      <c r="K86" s="386">
        <v>1</v>
      </c>
      <c r="L86" s="151"/>
    </row>
    <row r="87" spans="1:12" ht="31.5" thickTop="1" thickBot="1" x14ac:dyDescent="0.25">
      <c r="B87" s="379" t="s">
        <v>450</v>
      </c>
      <c r="C87" s="379" t="s">
        <v>448</v>
      </c>
      <c r="D87" s="379" t="s">
        <v>416</v>
      </c>
      <c r="E87" s="391" t="s">
        <v>449</v>
      </c>
      <c r="F87" s="387" t="s">
        <v>824</v>
      </c>
      <c r="G87" s="384"/>
      <c r="H87" s="383"/>
      <c r="I87" s="398"/>
      <c r="J87" s="385">
        <v>3000000</v>
      </c>
      <c r="K87" s="386"/>
    </row>
    <row r="88" spans="1:12" ht="106.5" thickTop="1" thickBot="1" x14ac:dyDescent="0.25">
      <c r="B88" s="379" t="s">
        <v>503</v>
      </c>
      <c r="C88" s="379" t="s">
        <v>504</v>
      </c>
      <c r="D88" s="379" t="s">
        <v>361</v>
      </c>
      <c r="E88" s="391" t="s">
        <v>825</v>
      </c>
      <c r="F88" s="389" t="s">
        <v>506</v>
      </c>
      <c r="G88" s="385" t="s">
        <v>554</v>
      </c>
      <c r="H88" s="383">
        <v>8638500</v>
      </c>
      <c r="I88" s="386">
        <f>1996859.63/H88</f>
        <v>0.23115814435376511</v>
      </c>
      <c r="J88" s="385">
        <f>(2000000)+2000000</f>
        <v>4000000</v>
      </c>
      <c r="K88" s="399">
        <f>(1996859.63+J88)/H88</f>
        <v>0.69420149678763676</v>
      </c>
    </row>
    <row r="89" spans="1:12" ht="46.5" thickTop="1" thickBot="1" x14ac:dyDescent="0.25">
      <c r="A89" s="152"/>
      <c r="B89" s="421">
        <v>1000000</v>
      </c>
      <c r="C89" s="421"/>
      <c r="D89" s="421"/>
      <c r="E89" s="422" t="s">
        <v>29</v>
      </c>
      <c r="F89" s="421"/>
      <c r="G89" s="421"/>
      <c r="H89" s="421"/>
      <c r="I89" s="421"/>
      <c r="J89" s="423">
        <f>J90</f>
        <v>6123889</v>
      </c>
      <c r="K89" s="421"/>
    </row>
    <row r="90" spans="1:12" ht="44.25" thickTop="1" thickBot="1" x14ac:dyDescent="0.25">
      <c r="A90" s="152"/>
      <c r="B90" s="424">
        <v>1010000</v>
      </c>
      <c r="C90" s="424"/>
      <c r="D90" s="424"/>
      <c r="E90" s="425" t="s">
        <v>48</v>
      </c>
      <c r="F90" s="424"/>
      <c r="G90" s="424"/>
      <c r="H90" s="424"/>
      <c r="I90" s="424"/>
      <c r="J90" s="426">
        <f>SUM(J91:J99)</f>
        <v>6123889</v>
      </c>
      <c r="K90" s="424"/>
    </row>
    <row r="91" spans="1:12" ht="31.5" hidden="1" thickTop="1" thickBot="1" x14ac:dyDescent="0.25">
      <c r="A91" s="152"/>
      <c r="B91" s="367" t="s">
        <v>20</v>
      </c>
      <c r="C91" s="367" t="s">
        <v>227</v>
      </c>
      <c r="D91" s="367" t="s">
        <v>228</v>
      </c>
      <c r="E91" s="367" t="s">
        <v>718</v>
      </c>
      <c r="F91" s="368" t="s">
        <v>783</v>
      </c>
      <c r="G91" s="371"/>
      <c r="H91" s="362"/>
      <c r="I91" s="373"/>
      <c r="J91" s="372"/>
      <c r="K91" s="373"/>
    </row>
    <row r="92" spans="1:12" ht="61.5" hidden="1" thickTop="1" thickBot="1" x14ac:dyDescent="0.25">
      <c r="A92" s="152"/>
      <c r="B92" s="367" t="s">
        <v>20</v>
      </c>
      <c r="C92" s="367" t="s">
        <v>227</v>
      </c>
      <c r="D92" s="367" t="s">
        <v>228</v>
      </c>
      <c r="E92" s="367" t="s">
        <v>718</v>
      </c>
      <c r="F92" s="368" t="s">
        <v>826</v>
      </c>
      <c r="G92" s="371" t="s">
        <v>644</v>
      </c>
      <c r="H92" s="362">
        <v>250000</v>
      </c>
      <c r="I92" s="373">
        <v>0</v>
      </c>
      <c r="J92" s="372"/>
      <c r="K92" s="373">
        <f>J92/H92</f>
        <v>0</v>
      </c>
    </row>
    <row r="93" spans="1:12" ht="61.5" thickTop="1" thickBot="1" x14ac:dyDescent="0.25">
      <c r="A93" s="152"/>
      <c r="B93" s="379" t="s">
        <v>20</v>
      </c>
      <c r="C93" s="379" t="s">
        <v>227</v>
      </c>
      <c r="D93" s="379" t="s">
        <v>228</v>
      </c>
      <c r="E93" s="379" t="s">
        <v>718</v>
      </c>
      <c r="F93" s="380" t="s">
        <v>827</v>
      </c>
      <c r="G93" s="384" t="s">
        <v>644</v>
      </c>
      <c r="H93" s="383">
        <v>80000</v>
      </c>
      <c r="I93" s="386">
        <v>0</v>
      </c>
      <c r="J93" s="385">
        <v>80000</v>
      </c>
      <c r="K93" s="386">
        <f>J93/H93</f>
        <v>1</v>
      </c>
    </row>
    <row r="94" spans="1:12" ht="61.5" thickTop="1" thickBot="1" x14ac:dyDescent="0.25">
      <c r="A94" s="152"/>
      <c r="B94" s="379" t="s">
        <v>20</v>
      </c>
      <c r="C94" s="379" t="s">
        <v>227</v>
      </c>
      <c r="D94" s="379" t="s">
        <v>228</v>
      </c>
      <c r="E94" s="379" t="s">
        <v>718</v>
      </c>
      <c r="F94" s="380" t="s">
        <v>828</v>
      </c>
      <c r="G94" s="385" t="s">
        <v>542</v>
      </c>
      <c r="H94" s="383">
        <f>1590760+1000000</f>
        <v>2590760</v>
      </c>
      <c r="I94" s="386">
        <f>1072954.75/H94</f>
        <v>0.41414671756550203</v>
      </c>
      <c r="J94" s="385">
        <v>700000</v>
      </c>
      <c r="K94" s="386">
        <f>(J94+1072954.75)/H94</f>
        <v>0.6843377039941948</v>
      </c>
    </row>
    <row r="95" spans="1:12" ht="31.5" thickTop="1" thickBot="1" x14ac:dyDescent="0.25">
      <c r="A95" s="152"/>
      <c r="B95" s="379" t="s">
        <v>218</v>
      </c>
      <c r="C95" s="379" t="s">
        <v>219</v>
      </c>
      <c r="D95" s="379" t="s">
        <v>220</v>
      </c>
      <c r="E95" s="379" t="s">
        <v>221</v>
      </c>
      <c r="F95" s="380" t="s">
        <v>783</v>
      </c>
      <c r="G95" s="385"/>
      <c r="H95" s="385"/>
      <c r="I95" s="400"/>
      <c r="J95" s="385">
        <v>114000</v>
      </c>
      <c r="K95" s="400"/>
    </row>
    <row r="96" spans="1:12" ht="31.5" thickTop="1" thickBot="1" x14ac:dyDescent="0.25">
      <c r="A96" s="152"/>
      <c r="B96" s="379" t="s">
        <v>222</v>
      </c>
      <c r="C96" s="379" t="s">
        <v>223</v>
      </c>
      <c r="D96" s="379" t="s">
        <v>220</v>
      </c>
      <c r="E96" s="379" t="s">
        <v>633</v>
      </c>
      <c r="F96" s="380" t="s">
        <v>783</v>
      </c>
      <c r="G96" s="385"/>
      <c r="H96" s="385"/>
      <c r="I96" s="400"/>
      <c r="J96" s="385">
        <v>80000</v>
      </c>
      <c r="K96" s="400"/>
    </row>
    <row r="97" spans="1:12" ht="61.5" thickTop="1" thickBot="1" x14ac:dyDescent="0.25">
      <c r="A97" s="152"/>
      <c r="B97" s="379" t="s">
        <v>222</v>
      </c>
      <c r="C97" s="379" t="s">
        <v>223</v>
      </c>
      <c r="D97" s="379" t="s">
        <v>220</v>
      </c>
      <c r="E97" s="379" t="s">
        <v>633</v>
      </c>
      <c r="F97" s="389" t="s">
        <v>19</v>
      </c>
      <c r="G97" s="385" t="s">
        <v>829</v>
      </c>
      <c r="H97" s="385">
        <v>27064985</v>
      </c>
      <c r="I97" s="400">
        <f>(1430336+2994769.5+4929931.79)/H97</f>
        <v>0.3456509320067977</v>
      </c>
      <c r="J97" s="385">
        <f>(5000000)</f>
        <v>5000000</v>
      </c>
      <c r="K97" s="400">
        <f>(1430336+2994769.5+4929931.79+J97)/H97</f>
        <v>0.53039147407619103</v>
      </c>
    </row>
    <row r="98" spans="1:12" ht="46.5" thickTop="1" thickBot="1" x14ac:dyDescent="0.25">
      <c r="A98" s="152"/>
      <c r="B98" s="379" t="s">
        <v>224</v>
      </c>
      <c r="C98" s="379" t="s">
        <v>215</v>
      </c>
      <c r="D98" s="379" t="s">
        <v>225</v>
      </c>
      <c r="E98" s="379" t="s">
        <v>226</v>
      </c>
      <c r="F98" s="380" t="s">
        <v>783</v>
      </c>
      <c r="G98" s="385"/>
      <c r="H98" s="385"/>
      <c r="I98" s="400"/>
      <c r="J98" s="385">
        <v>149889</v>
      </c>
      <c r="K98" s="400"/>
    </row>
    <row r="99" spans="1:12" ht="61.5" hidden="1" thickTop="1" thickBot="1" x14ac:dyDescent="0.25">
      <c r="B99" s="367" t="s">
        <v>224</v>
      </c>
      <c r="C99" s="367" t="s">
        <v>215</v>
      </c>
      <c r="D99" s="367" t="s">
        <v>225</v>
      </c>
      <c r="E99" s="367" t="s">
        <v>226</v>
      </c>
      <c r="F99" s="375" t="s">
        <v>830</v>
      </c>
      <c r="G99" s="372" t="s">
        <v>554</v>
      </c>
      <c r="H99" s="362">
        <v>4015432</v>
      </c>
      <c r="I99" s="373">
        <f>499652.88/H99</f>
        <v>0.12443315688075406</v>
      </c>
      <c r="J99" s="372">
        <v>0</v>
      </c>
      <c r="K99" s="373">
        <f>(J99+499652.88)/H99</f>
        <v>0.12443315688075406</v>
      </c>
    </row>
    <row r="100" spans="1:12" ht="46.5" thickTop="1" thickBot="1" x14ac:dyDescent="0.25">
      <c r="B100" s="421" t="s">
        <v>26</v>
      </c>
      <c r="C100" s="421"/>
      <c r="D100" s="421"/>
      <c r="E100" s="422" t="s">
        <v>27</v>
      </c>
      <c r="F100" s="421"/>
      <c r="G100" s="421"/>
      <c r="H100" s="421"/>
      <c r="I100" s="421"/>
      <c r="J100" s="423">
        <f>J101</f>
        <v>4742772</v>
      </c>
      <c r="K100" s="421"/>
    </row>
    <row r="101" spans="1:12" ht="44.25" thickTop="1" thickBot="1" x14ac:dyDescent="0.25">
      <c r="B101" s="424" t="s">
        <v>25</v>
      </c>
      <c r="C101" s="424"/>
      <c r="D101" s="424"/>
      <c r="E101" s="425" t="s">
        <v>44</v>
      </c>
      <c r="F101" s="424"/>
      <c r="G101" s="424"/>
      <c r="H101" s="424"/>
      <c r="I101" s="424"/>
      <c r="J101" s="426">
        <f>SUM(J102:J112)</f>
        <v>4742772</v>
      </c>
      <c r="K101" s="424"/>
    </row>
    <row r="102" spans="1:12" ht="46.5" thickTop="1" thickBot="1" x14ac:dyDescent="0.25">
      <c r="B102" s="379" t="s">
        <v>230</v>
      </c>
      <c r="C102" s="379" t="s">
        <v>231</v>
      </c>
      <c r="D102" s="379" t="s">
        <v>232</v>
      </c>
      <c r="E102" s="379" t="s">
        <v>233</v>
      </c>
      <c r="F102" s="380" t="s">
        <v>783</v>
      </c>
      <c r="G102" s="384"/>
      <c r="H102" s="388"/>
      <c r="I102" s="384"/>
      <c r="J102" s="383">
        <v>55000</v>
      </c>
      <c r="K102" s="383"/>
    </row>
    <row r="103" spans="1:12" ht="31.5" thickTop="1" thickBot="1" x14ac:dyDescent="0.25">
      <c r="B103" s="379" t="s">
        <v>237</v>
      </c>
      <c r="C103" s="379" t="s">
        <v>238</v>
      </c>
      <c r="D103" s="379" t="s">
        <v>232</v>
      </c>
      <c r="E103" s="379" t="s">
        <v>12</v>
      </c>
      <c r="F103" s="380" t="s">
        <v>783</v>
      </c>
      <c r="G103" s="384"/>
      <c r="H103" s="388"/>
      <c r="I103" s="384"/>
      <c r="J103" s="383">
        <v>150000</v>
      </c>
      <c r="K103" s="383"/>
    </row>
    <row r="104" spans="1:12" s="401" customFormat="1" ht="31.5" thickTop="1" thickBot="1" x14ac:dyDescent="0.25">
      <c r="B104" s="379" t="s">
        <v>430</v>
      </c>
      <c r="C104" s="379" t="s">
        <v>431</v>
      </c>
      <c r="D104" s="379" t="s">
        <v>232</v>
      </c>
      <c r="E104" s="379" t="s">
        <v>432</v>
      </c>
      <c r="F104" s="380" t="s">
        <v>783</v>
      </c>
      <c r="G104" s="384"/>
      <c r="H104" s="388"/>
      <c r="I104" s="384"/>
      <c r="J104" s="383">
        <v>60000</v>
      </c>
      <c r="K104" s="383"/>
    </row>
    <row r="105" spans="1:12" s="110" customFormat="1" ht="46.5" thickTop="1" thickBot="1" x14ac:dyDescent="0.25">
      <c r="B105" s="379" t="s">
        <v>430</v>
      </c>
      <c r="C105" s="379" t="s">
        <v>431</v>
      </c>
      <c r="D105" s="379" t="s">
        <v>232</v>
      </c>
      <c r="E105" s="379" t="s">
        <v>432</v>
      </c>
      <c r="F105" s="380" t="s">
        <v>831</v>
      </c>
      <c r="G105" s="385" t="s">
        <v>542</v>
      </c>
      <c r="H105" s="388">
        <v>1216103</v>
      </c>
      <c r="I105" s="386">
        <f>1205804.43/H105</f>
        <v>0.99153149856549971</v>
      </c>
      <c r="J105" s="383">
        <v>10107</v>
      </c>
      <c r="K105" s="386">
        <f>(1205804.43+J105)/H105</f>
        <v>0.99984247222480327</v>
      </c>
    </row>
    <row r="106" spans="1:12" s="110" customFormat="1" ht="46.5" thickTop="1" thickBot="1" x14ac:dyDescent="0.25">
      <c r="B106" s="379" t="s">
        <v>35</v>
      </c>
      <c r="C106" s="379" t="s">
        <v>240</v>
      </c>
      <c r="D106" s="379" t="s">
        <v>243</v>
      </c>
      <c r="E106" s="379" t="s">
        <v>60</v>
      </c>
      <c r="F106" s="380" t="s">
        <v>783</v>
      </c>
      <c r="G106" s="384"/>
      <c r="H106" s="388"/>
      <c r="I106" s="384"/>
      <c r="J106" s="383">
        <f>(527550)+74450</f>
        <v>602000</v>
      </c>
      <c r="K106" s="383"/>
    </row>
    <row r="107" spans="1:12" s="110" customFormat="1" ht="91.5" thickTop="1" thickBot="1" x14ac:dyDescent="0.25">
      <c r="B107" s="379" t="s">
        <v>35</v>
      </c>
      <c r="C107" s="379" t="s">
        <v>240</v>
      </c>
      <c r="D107" s="379" t="s">
        <v>243</v>
      </c>
      <c r="E107" s="379" t="s">
        <v>60</v>
      </c>
      <c r="F107" s="389" t="s">
        <v>570</v>
      </c>
      <c r="G107" s="385" t="s">
        <v>832</v>
      </c>
      <c r="H107" s="383">
        <v>6873431</v>
      </c>
      <c r="I107" s="386">
        <v>0.25</v>
      </c>
      <c r="J107" s="383">
        <f>2000000-550000</f>
        <v>1450000</v>
      </c>
      <c r="K107" s="386">
        <f>(1305620+J107)/H107</f>
        <v>0.4009089492569286</v>
      </c>
    </row>
    <row r="108" spans="1:12" s="110" customFormat="1" ht="106.5" thickTop="1" thickBot="1" x14ac:dyDescent="0.25">
      <c r="B108" s="379" t="s">
        <v>35</v>
      </c>
      <c r="C108" s="379" t="s">
        <v>240</v>
      </c>
      <c r="D108" s="379" t="s">
        <v>243</v>
      </c>
      <c r="E108" s="379" t="s">
        <v>60</v>
      </c>
      <c r="F108" s="379" t="s">
        <v>833</v>
      </c>
      <c r="G108" s="384" t="s">
        <v>644</v>
      </c>
      <c r="H108" s="383">
        <f>(1200000)+455200</f>
        <v>1655200</v>
      </c>
      <c r="I108" s="386">
        <v>0</v>
      </c>
      <c r="J108" s="383">
        <f>(1200000)+455200</f>
        <v>1655200</v>
      </c>
      <c r="K108" s="386">
        <v>1</v>
      </c>
      <c r="L108" s="383" t="s">
        <v>912</v>
      </c>
    </row>
    <row r="109" spans="1:12" s="110" customFormat="1" ht="83.25" customHeight="1" thickTop="1" thickBot="1" x14ac:dyDescent="0.25">
      <c r="B109" s="379" t="s">
        <v>35</v>
      </c>
      <c r="C109" s="379" t="s">
        <v>240</v>
      </c>
      <c r="D109" s="379" t="s">
        <v>243</v>
      </c>
      <c r="E109" s="379" t="s">
        <v>60</v>
      </c>
      <c r="F109" s="389" t="s">
        <v>622</v>
      </c>
      <c r="G109" s="384" t="s">
        <v>644</v>
      </c>
      <c r="H109" s="383">
        <v>91865</v>
      </c>
      <c r="I109" s="386">
        <v>0</v>
      </c>
      <c r="J109" s="383">
        <v>91865</v>
      </c>
      <c r="K109" s="386">
        <v>1</v>
      </c>
    </row>
    <row r="110" spans="1:12" s="110" customFormat="1" ht="46.5" thickTop="1" thickBot="1" x14ac:dyDescent="0.25">
      <c r="B110" s="379" t="s">
        <v>36</v>
      </c>
      <c r="C110" s="379" t="s">
        <v>241</v>
      </c>
      <c r="D110" s="379" t="s">
        <v>243</v>
      </c>
      <c r="E110" s="379" t="s">
        <v>61</v>
      </c>
      <c r="F110" s="380" t="s">
        <v>783</v>
      </c>
      <c r="G110" s="384"/>
      <c r="H110" s="383"/>
      <c r="I110" s="386"/>
      <c r="J110" s="383">
        <v>169100</v>
      </c>
      <c r="K110" s="386"/>
    </row>
    <row r="111" spans="1:12" s="110" customFormat="1" ht="91.5" thickTop="1" thickBot="1" x14ac:dyDescent="0.25">
      <c r="B111" s="379" t="s">
        <v>36</v>
      </c>
      <c r="C111" s="379" t="s">
        <v>241</v>
      </c>
      <c r="D111" s="379" t="s">
        <v>243</v>
      </c>
      <c r="E111" s="379" t="s">
        <v>61</v>
      </c>
      <c r="F111" s="380" t="s">
        <v>834</v>
      </c>
      <c r="G111" s="384" t="s">
        <v>644</v>
      </c>
      <c r="H111" s="388">
        <v>299500</v>
      </c>
      <c r="I111" s="386">
        <v>0</v>
      </c>
      <c r="J111" s="383">
        <v>299500</v>
      </c>
      <c r="K111" s="386">
        <v>1</v>
      </c>
      <c r="L111" s="363" t="s">
        <v>835</v>
      </c>
    </row>
    <row r="112" spans="1:12" s="110" customFormat="1" ht="31.5" thickTop="1" thickBot="1" x14ac:dyDescent="0.25">
      <c r="B112" s="379" t="s">
        <v>466</v>
      </c>
      <c r="C112" s="379" t="s">
        <v>446</v>
      </c>
      <c r="D112" s="379" t="s">
        <v>55</v>
      </c>
      <c r="E112" s="379" t="s">
        <v>447</v>
      </c>
      <c r="F112" s="380" t="s">
        <v>783</v>
      </c>
      <c r="G112" s="384"/>
      <c r="H112" s="388"/>
      <c r="I112" s="386"/>
      <c r="J112" s="383">
        <v>200000</v>
      </c>
      <c r="K112" s="386"/>
      <c r="L112" s="363"/>
    </row>
    <row r="113" spans="2:11" ht="46.5" thickTop="1" thickBot="1" x14ac:dyDescent="0.25">
      <c r="B113" s="421" t="s">
        <v>200</v>
      </c>
      <c r="C113" s="421"/>
      <c r="D113" s="421"/>
      <c r="E113" s="422" t="s">
        <v>28</v>
      </c>
      <c r="F113" s="421"/>
      <c r="G113" s="421"/>
      <c r="H113" s="421"/>
      <c r="I113" s="421"/>
      <c r="J113" s="423">
        <f>J114</f>
        <v>143354868.59</v>
      </c>
      <c r="K113" s="421"/>
    </row>
    <row r="114" spans="2:11" ht="44.25" thickTop="1" thickBot="1" x14ac:dyDescent="0.25">
      <c r="B114" s="424" t="s">
        <v>201</v>
      </c>
      <c r="C114" s="424"/>
      <c r="D114" s="424"/>
      <c r="E114" s="425" t="s">
        <v>49</v>
      </c>
      <c r="F114" s="424"/>
      <c r="G114" s="424"/>
      <c r="H114" s="424"/>
      <c r="I114" s="424"/>
      <c r="J114" s="426">
        <f>J116+J117+J118+J123+J137+J143+J144+J145+J149+J180+J115</f>
        <v>143354868.59</v>
      </c>
      <c r="K114" s="424"/>
    </row>
    <row r="115" spans="2:11" ht="46.5" thickTop="1" thickBot="1" x14ac:dyDescent="0.25">
      <c r="B115" s="379" t="s">
        <v>525</v>
      </c>
      <c r="C115" s="379" t="s">
        <v>288</v>
      </c>
      <c r="D115" s="379" t="s">
        <v>286</v>
      </c>
      <c r="E115" s="379" t="s">
        <v>287</v>
      </c>
      <c r="F115" s="380" t="s">
        <v>783</v>
      </c>
      <c r="G115" s="488"/>
      <c r="H115" s="488"/>
      <c r="I115" s="488"/>
      <c r="J115" s="383">
        <v>17000</v>
      </c>
      <c r="K115" s="488"/>
    </row>
    <row r="116" spans="2:11" ht="31.5" thickTop="1" thickBot="1" x14ac:dyDescent="0.25">
      <c r="B116" s="440" t="s">
        <v>333</v>
      </c>
      <c r="C116" s="440" t="s">
        <v>334</v>
      </c>
      <c r="D116" s="440" t="s">
        <v>416</v>
      </c>
      <c r="E116" s="440" t="s">
        <v>335</v>
      </c>
      <c r="F116" s="441" t="s">
        <v>836</v>
      </c>
      <c r="G116" s="441"/>
      <c r="H116" s="442"/>
      <c r="I116" s="441"/>
      <c r="J116" s="442">
        <f>(3500000+597900)+1323300</f>
        <v>5421200</v>
      </c>
      <c r="K116" s="442"/>
    </row>
    <row r="117" spans="2:11" ht="31.5" thickTop="1" thickBot="1" x14ac:dyDescent="0.25">
      <c r="B117" s="440" t="s">
        <v>358</v>
      </c>
      <c r="C117" s="440" t="s">
        <v>359</v>
      </c>
      <c r="D117" s="440" t="s">
        <v>336</v>
      </c>
      <c r="E117" s="440" t="s">
        <v>360</v>
      </c>
      <c r="F117" s="441" t="s">
        <v>915</v>
      </c>
      <c r="G117" s="441"/>
      <c r="H117" s="442"/>
      <c r="I117" s="441"/>
      <c r="J117" s="442">
        <f>5000000+4235016</f>
        <v>9235016</v>
      </c>
      <c r="K117" s="442"/>
    </row>
    <row r="118" spans="2:11" ht="46.5" thickTop="1" thickBot="1" x14ac:dyDescent="0.25">
      <c r="B118" s="440" t="s">
        <v>337</v>
      </c>
      <c r="C118" s="440" t="s">
        <v>338</v>
      </c>
      <c r="D118" s="440" t="s">
        <v>336</v>
      </c>
      <c r="E118" s="440" t="s">
        <v>636</v>
      </c>
      <c r="F118" s="441" t="s">
        <v>837</v>
      </c>
      <c r="G118" s="441"/>
      <c r="H118" s="442"/>
      <c r="I118" s="441"/>
      <c r="J118" s="442">
        <f>J119+J120+J121+J122</f>
        <v>17972317</v>
      </c>
      <c r="K118" s="442" t="s">
        <v>838</v>
      </c>
    </row>
    <row r="119" spans="2:11" ht="46.5" thickTop="1" thickBot="1" x14ac:dyDescent="0.25">
      <c r="B119" s="440" t="s">
        <v>337</v>
      </c>
      <c r="C119" s="440" t="s">
        <v>338</v>
      </c>
      <c r="D119" s="440" t="s">
        <v>336</v>
      </c>
      <c r="E119" s="443" t="s">
        <v>636</v>
      </c>
      <c r="F119" s="444" t="s">
        <v>882</v>
      </c>
      <c r="G119" s="441"/>
      <c r="H119" s="442"/>
      <c r="I119" s="441"/>
      <c r="J119" s="445">
        <v>3000000</v>
      </c>
      <c r="K119" s="442"/>
    </row>
    <row r="120" spans="2:11" ht="46.5" thickTop="1" thickBot="1" x14ac:dyDescent="0.25">
      <c r="B120" s="440" t="s">
        <v>337</v>
      </c>
      <c r="C120" s="440" t="s">
        <v>338</v>
      </c>
      <c r="D120" s="440" t="s">
        <v>336</v>
      </c>
      <c r="E120" s="443" t="s">
        <v>636</v>
      </c>
      <c r="F120" s="444" t="s">
        <v>839</v>
      </c>
      <c r="G120" s="441"/>
      <c r="H120" s="442"/>
      <c r="I120" s="441"/>
      <c r="J120" s="445">
        <f>14000000</f>
        <v>14000000</v>
      </c>
      <c r="K120" s="442"/>
    </row>
    <row r="121" spans="2:11" ht="61.5" thickTop="1" thickBot="1" x14ac:dyDescent="0.25">
      <c r="B121" s="440" t="s">
        <v>337</v>
      </c>
      <c r="C121" s="440" t="s">
        <v>338</v>
      </c>
      <c r="D121" s="440" t="s">
        <v>336</v>
      </c>
      <c r="E121" s="443" t="s">
        <v>636</v>
      </c>
      <c r="F121" s="444" t="s">
        <v>910</v>
      </c>
      <c r="G121" s="441" t="s">
        <v>644</v>
      </c>
      <c r="H121" s="442">
        <v>721317</v>
      </c>
      <c r="I121" s="441">
        <v>0</v>
      </c>
      <c r="J121" s="445">
        <v>500000</v>
      </c>
      <c r="K121" s="446">
        <f>J121/H121</f>
        <v>0.69317650907991912</v>
      </c>
    </row>
    <row r="122" spans="2:11" ht="46.5" thickTop="1" thickBot="1" x14ac:dyDescent="0.25">
      <c r="B122" s="440" t="s">
        <v>337</v>
      </c>
      <c r="C122" s="440" t="s">
        <v>338</v>
      </c>
      <c r="D122" s="440" t="s">
        <v>336</v>
      </c>
      <c r="E122" s="443" t="s">
        <v>636</v>
      </c>
      <c r="F122" s="444" t="s">
        <v>883</v>
      </c>
      <c r="G122" s="441"/>
      <c r="H122" s="442"/>
      <c r="I122" s="441"/>
      <c r="J122" s="445">
        <v>472317</v>
      </c>
      <c r="K122" s="442"/>
    </row>
    <row r="123" spans="2:11" ht="16.5" thickTop="1" thickBot="1" x14ac:dyDescent="0.25">
      <c r="B123" s="440" t="s">
        <v>342</v>
      </c>
      <c r="C123" s="440" t="s">
        <v>343</v>
      </c>
      <c r="D123" s="440" t="s">
        <v>336</v>
      </c>
      <c r="E123" s="440" t="s">
        <v>344</v>
      </c>
      <c r="F123" s="441" t="s">
        <v>837</v>
      </c>
      <c r="G123" s="441"/>
      <c r="H123" s="442"/>
      <c r="I123" s="441"/>
      <c r="J123" s="442">
        <f>SUM(J124:J136)</f>
        <v>12233227</v>
      </c>
      <c r="K123" s="442"/>
    </row>
    <row r="124" spans="2:11" ht="46.5" thickTop="1" thickBot="1" x14ac:dyDescent="0.25">
      <c r="B124" s="440" t="s">
        <v>342</v>
      </c>
      <c r="C124" s="440" t="s">
        <v>343</v>
      </c>
      <c r="D124" s="440" t="s">
        <v>336</v>
      </c>
      <c r="E124" s="440" t="s">
        <v>344</v>
      </c>
      <c r="F124" s="444" t="s">
        <v>840</v>
      </c>
      <c r="G124" s="441" t="s">
        <v>841</v>
      </c>
      <c r="H124" s="442"/>
      <c r="I124" s="441"/>
      <c r="J124" s="445">
        <f>2000000-200000</f>
        <v>1800000</v>
      </c>
      <c r="K124" s="442"/>
    </row>
    <row r="125" spans="2:11" ht="46.5" thickTop="1" thickBot="1" x14ac:dyDescent="0.25">
      <c r="B125" s="440" t="s">
        <v>342</v>
      </c>
      <c r="C125" s="440" t="s">
        <v>343</v>
      </c>
      <c r="D125" s="440" t="s">
        <v>336</v>
      </c>
      <c r="E125" s="440" t="s">
        <v>344</v>
      </c>
      <c r="F125" s="444" t="s">
        <v>842</v>
      </c>
      <c r="G125" s="441"/>
      <c r="H125" s="442"/>
      <c r="I125" s="441"/>
      <c r="J125" s="445">
        <f>5000000-940000</f>
        <v>4060000</v>
      </c>
      <c r="K125" s="442"/>
    </row>
    <row r="126" spans="2:11" ht="46.5" thickTop="1" thickBot="1" x14ac:dyDescent="0.25">
      <c r="B126" s="440" t="s">
        <v>342</v>
      </c>
      <c r="C126" s="440" t="s">
        <v>343</v>
      </c>
      <c r="D126" s="440" t="s">
        <v>336</v>
      </c>
      <c r="E126" s="440" t="s">
        <v>344</v>
      </c>
      <c r="F126" s="444" t="s">
        <v>843</v>
      </c>
      <c r="G126" s="441"/>
      <c r="H126" s="442"/>
      <c r="I126" s="441"/>
      <c r="J126" s="445">
        <f>600000-560000</f>
        <v>40000</v>
      </c>
      <c r="K126" s="442"/>
    </row>
    <row r="127" spans="2:11" ht="76.5" thickTop="1" thickBot="1" x14ac:dyDescent="0.25">
      <c r="B127" s="440" t="s">
        <v>342</v>
      </c>
      <c r="C127" s="440" t="s">
        <v>343</v>
      </c>
      <c r="D127" s="440" t="s">
        <v>336</v>
      </c>
      <c r="E127" s="440" t="s">
        <v>344</v>
      </c>
      <c r="F127" s="444" t="s">
        <v>844</v>
      </c>
      <c r="G127" s="442" t="s">
        <v>832</v>
      </c>
      <c r="H127" s="442">
        <v>4552060</v>
      </c>
      <c r="I127" s="446">
        <v>0.26</v>
      </c>
      <c r="J127" s="445">
        <f>1000000</f>
        <v>1000000</v>
      </c>
      <c r="K127" s="446">
        <f>(H127*I127+J127)/H127</f>
        <v>0.47968075991968473</v>
      </c>
    </row>
    <row r="128" spans="2:11" ht="91.5" thickTop="1" thickBot="1" x14ac:dyDescent="0.25">
      <c r="B128" s="440" t="s">
        <v>342</v>
      </c>
      <c r="C128" s="440" t="s">
        <v>343</v>
      </c>
      <c r="D128" s="440" t="s">
        <v>336</v>
      </c>
      <c r="E128" s="440" t="s">
        <v>344</v>
      </c>
      <c r="F128" s="444" t="s">
        <v>916</v>
      </c>
      <c r="G128" s="441" t="s">
        <v>644</v>
      </c>
      <c r="H128" s="442"/>
      <c r="I128" s="441"/>
      <c r="J128" s="445">
        <f>1000000-991900</f>
        <v>8100</v>
      </c>
      <c r="K128" s="442"/>
    </row>
    <row r="129" spans="2:11" ht="91.5" thickTop="1" thickBot="1" x14ac:dyDescent="0.25">
      <c r="B129" s="440" t="s">
        <v>342</v>
      </c>
      <c r="C129" s="440" t="s">
        <v>343</v>
      </c>
      <c r="D129" s="440" t="s">
        <v>336</v>
      </c>
      <c r="E129" s="440" t="s">
        <v>344</v>
      </c>
      <c r="F129" s="444" t="s">
        <v>917</v>
      </c>
      <c r="G129" s="441" t="s">
        <v>644</v>
      </c>
      <c r="H129" s="442"/>
      <c r="I129" s="441"/>
      <c r="J129" s="445">
        <f>1500000-1481775</f>
        <v>18225</v>
      </c>
      <c r="K129" s="442"/>
    </row>
    <row r="130" spans="2:11" ht="91.5" thickTop="1" thickBot="1" x14ac:dyDescent="0.25">
      <c r="B130" s="440" t="s">
        <v>342</v>
      </c>
      <c r="C130" s="440" t="s">
        <v>343</v>
      </c>
      <c r="D130" s="440" t="s">
        <v>336</v>
      </c>
      <c r="E130" s="440" t="s">
        <v>344</v>
      </c>
      <c r="F130" s="444" t="s">
        <v>918</v>
      </c>
      <c r="G130" s="442" t="s">
        <v>845</v>
      </c>
      <c r="H130" s="442">
        <v>7725528</v>
      </c>
      <c r="I130" s="446">
        <v>0.11</v>
      </c>
      <c r="J130" s="445">
        <f>2000000</f>
        <v>2000000</v>
      </c>
      <c r="K130" s="446">
        <f t="shared" ref="K130:K133" si="1">(H130*I130+J130)/H130</f>
        <v>0.36888198191761135</v>
      </c>
    </row>
    <row r="131" spans="2:11" ht="61.5" thickTop="1" thickBot="1" x14ac:dyDescent="0.25">
      <c r="B131" s="440" t="s">
        <v>342</v>
      </c>
      <c r="C131" s="440" t="s">
        <v>343</v>
      </c>
      <c r="D131" s="440" t="s">
        <v>336</v>
      </c>
      <c r="E131" s="440" t="s">
        <v>344</v>
      </c>
      <c r="F131" s="444" t="s">
        <v>846</v>
      </c>
      <c r="G131" s="442" t="s">
        <v>845</v>
      </c>
      <c r="H131" s="442">
        <v>4380277</v>
      </c>
      <c r="I131" s="446">
        <v>0.06</v>
      </c>
      <c r="J131" s="445">
        <v>1000000</v>
      </c>
      <c r="K131" s="446">
        <f t="shared" si="1"/>
        <v>0.28829606438131655</v>
      </c>
    </row>
    <row r="132" spans="2:11" ht="76.5" thickTop="1" thickBot="1" x14ac:dyDescent="0.25">
      <c r="B132" s="440" t="s">
        <v>342</v>
      </c>
      <c r="C132" s="440" t="s">
        <v>343</v>
      </c>
      <c r="D132" s="440" t="s">
        <v>336</v>
      </c>
      <c r="E132" s="440" t="s">
        <v>344</v>
      </c>
      <c r="F132" s="444" t="s">
        <v>919</v>
      </c>
      <c r="G132" s="441" t="s">
        <v>644</v>
      </c>
      <c r="H132" s="442"/>
      <c r="I132" s="446"/>
      <c r="J132" s="445">
        <v>2000</v>
      </c>
      <c r="K132" s="446"/>
    </row>
    <row r="133" spans="2:11" ht="61.5" thickTop="1" thickBot="1" x14ac:dyDescent="0.25">
      <c r="B133" s="440" t="s">
        <v>342</v>
      </c>
      <c r="C133" s="440" t="s">
        <v>343</v>
      </c>
      <c r="D133" s="440" t="s">
        <v>336</v>
      </c>
      <c r="E133" s="440" t="s">
        <v>344</v>
      </c>
      <c r="F133" s="444" t="s">
        <v>847</v>
      </c>
      <c r="G133" s="442" t="s">
        <v>554</v>
      </c>
      <c r="H133" s="442">
        <v>1491906</v>
      </c>
      <c r="I133" s="446">
        <v>0</v>
      </c>
      <c r="J133" s="442">
        <v>1481775</v>
      </c>
      <c r="K133" s="446">
        <f t="shared" si="1"/>
        <v>0.99320935769411745</v>
      </c>
    </row>
    <row r="134" spans="2:11" ht="61.5" thickTop="1" thickBot="1" x14ac:dyDescent="0.25">
      <c r="B134" s="440" t="s">
        <v>342</v>
      </c>
      <c r="C134" s="440" t="s">
        <v>343</v>
      </c>
      <c r="D134" s="440" t="s">
        <v>336</v>
      </c>
      <c r="E134" s="440" t="s">
        <v>344</v>
      </c>
      <c r="F134" s="444" t="s">
        <v>884</v>
      </c>
      <c r="G134" s="388" t="s">
        <v>554</v>
      </c>
      <c r="H134" s="388">
        <v>124058.72</v>
      </c>
      <c r="I134" s="386">
        <v>0.78</v>
      </c>
      <c r="J134" s="388">
        <f>53500-2000-24173</f>
        <v>27327</v>
      </c>
      <c r="K134" s="386">
        <v>1</v>
      </c>
    </row>
    <row r="135" spans="2:11" ht="46.5" thickTop="1" thickBot="1" x14ac:dyDescent="0.25">
      <c r="B135" s="440" t="s">
        <v>342</v>
      </c>
      <c r="C135" s="440" t="s">
        <v>343</v>
      </c>
      <c r="D135" s="440" t="s">
        <v>336</v>
      </c>
      <c r="E135" s="440" t="s">
        <v>344</v>
      </c>
      <c r="F135" s="444" t="s">
        <v>885</v>
      </c>
      <c r="G135" s="442" t="s">
        <v>832</v>
      </c>
      <c r="H135" s="388">
        <v>7253402</v>
      </c>
      <c r="I135" s="386">
        <v>0.9</v>
      </c>
      <c r="J135" s="388">
        <v>695800</v>
      </c>
      <c r="K135" s="386">
        <v>1</v>
      </c>
    </row>
    <row r="136" spans="2:11" ht="46.5" thickTop="1" thickBot="1" x14ac:dyDescent="0.25">
      <c r="B136" s="440" t="s">
        <v>342</v>
      </c>
      <c r="C136" s="440" t="s">
        <v>343</v>
      </c>
      <c r="D136" s="440" t="s">
        <v>336</v>
      </c>
      <c r="E136" s="440" t="s">
        <v>344</v>
      </c>
      <c r="F136" s="444" t="s">
        <v>886</v>
      </c>
      <c r="G136" s="441" t="s">
        <v>644</v>
      </c>
      <c r="H136" s="442">
        <v>100000</v>
      </c>
      <c r="I136" s="446">
        <v>0</v>
      </c>
      <c r="J136" s="442">
        <v>100000</v>
      </c>
      <c r="K136" s="386">
        <v>1</v>
      </c>
    </row>
    <row r="137" spans="2:11" ht="31.5" thickTop="1" thickBot="1" x14ac:dyDescent="0.25">
      <c r="B137" s="440" t="s">
        <v>362</v>
      </c>
      <c r="C137" s="440" t="s">
        <v>363</v>
      </c>
      <c r="D137" s="440" t="s">
        <v>361</v>
      </c>
      <c r="E137" s="440" t="s">
        <v>640</v>
      </c>
      <c r="F137" s="441" t="s">
        <v>63</v>
      </c>
      <c r="G137" s="441"/>
      <c r="H137" s="442"/>
      <c r="I137" s="441"/>
      <c r="J137" s="447">
        <f>J138+J139+J140+J141+J142</f>
        <v>9338415</v>
      </c>
      <c r="K137" s="447"/>
    </row>
    <row r="138" spans="2:11" ht="31.5" thickTop="1" thickBot="1" x14ac:dyDescent="0.25">
      <c r="B138" s="443" t="s">
        <v>362</v>
      </c>
      <c r="C138" s="443" t="s">
        <v>363</v>
      </c>
      <c r="D138" s="443" t="s">
        <v>361</v>
      </c>
      <c r="E138" s="443" t="s">
        <v>640</v>
      </c>
      <c r="F138" s="444" t="s">
        <v>73</v>
      </c>
      <c r="G138" s="448"/>
      <c r="H138" s="445"/>
      <c r="I138" s="448"/>
      <c r="J138" s="445">
        <v>5000000</v>
      </c>
      <c r="K138" s="445"/>
    </row>
    <row r="139" spans="2:11" ht="46.5" thickTop="1" thickBot="1" x14ac:dyDescent="0.25">
      <c r="B139" s="443" t="s">
        <v>362</v>
      </c>
      <c r="C139" s="443" t="s">
        <v>363</v>
      </c>
      <c r="D139" s="443" t="s">
        <v>361</v>
      </c>
      <c r="E139" s="443" t="s">
        <v>640</v>
      </c>
      <c r="F139" s="444" t="s">
        <v>188</v>
      </c>
      <c r="G139" s="445" t="s">
        <v>848</v>
      </c>
      <c r="H139" s="445">
        <v>18370999</v>
      </c>
      <c r="I139" s="449">
        <f>(300000+171778.77+2000000)/H139</f>
        <v>0.13454786917140435</v>
      </c>
      <c r="J139" s="445">
        <f>4000000-2000000</f>
        <v>2000000</v>
      </c>
      <c r="K139" s="449">
        <f>(300000+171778.77+2000000+J139)/H139</f>
        <v>0.24341511150264608</v>
      </c>
    </row>
    <row r="140" spans="2:11" ht="31.5" thickTop="1" thickBot="1" x14ac:dyDescent="0.25">
      <c r="B140" s="443" t="s">
        <v>362</v>
      </c>
      <c r="C140" s="443" t="s">
        <v>363</v>
      </c>
      <c r="D140" s="443" t="s">
        <v>361</v>
      </c>
      <c r="E140" s="443" t="s">
        <v>640</v>
      </c>
      <c r="F140" s="444" t="s">
        <v>385</v>
      </c>
      <c r="G140" s="445" t="s">
        <v>848</v>
      </c>
      <c r="H140" s="445">
        <v>8344958</v>
      </c>
      <c r="I140" s="449">
        <v>0.22</v>
      </c>
      <c r="J140" s="445">
        <f>2000000</f>
        <v>2000000</v>
      </c>
      <c r="K140" s="446">
        <f>(H140*I140+J140)/H140</f>
        <v>0.45966567596865077</v>
      </c>
    </row>
    <row r="141" spans="2:11" ht="31.5" thickTop="1" thickBot="1" x14ac:dyDescent="0.25">
      <c r="B141" s="443" t="s">
        <v>362</v>
      </c>
      <c r="C141" s="443" t="s">
        <v>363</v>
      </c>
      <c r="D141" s="443" t="s">
        <v>361</v>
      </c>
      <c r="E141" s="443" t="s">
        <v>640</v>
      </c>
      <c r="F141" s="444" t="s">
        <v>560</v>
      </c>
      <c r="G141" s="463" t="s">
        <v>644</v>
      </c>
      <c r="H141" s="464"/>
      <c r="I141" s="463"/>
      <c r="J141" s="464">
        <f>211415+42000</f>
        <v>253415</v>
      </c>
      <c r="K141" s="399"/>
    </row>
    <row r="142" spans="2:11" ht="61.5" thickTop="1" thickBot="1" x14ac:dyDescent="0.25">
      <c r="B142" s="443" t="s">
        <v>362</v>
      </c>
      <c r="C142" s="443" t="s">
        <v>363</v>
      </c>
      <c r="D142" s="443" t="s">
        <v>361</v>
      </c>
      <c r="E142" s="443" t="s">
        <v>640</v>
      </c>
      <c r="F142" s="444" t="s">
        <v>887</v>
      </c>
      <c r="G142" s="448"/>
      <c r="H142" s="445"/>
      <c r="I142" s="448"/>
      <c r="J142" s="445">
        <v>85000</v>
      </c>
      <c r="K142" s="449"/>
    </row>
    <row r="143" spans="2:11" ht="46.5" thickTop="1" thickBot="1" x14ac:dyDescent="0.25">
      <c r="B143" s="440" t="s">
        <v>561</v>
      </c>
      <c r="C143" s="440" t="s">
        <v>429</v>
      </c>
      <c r="D143" s="440" t="s">
        <v>212</v>
      </c>
      <c r="E143" s="440" t="s">
        <v>315</v>
      </c>
      <c r="F143" s="450" t="s">
        <v>2</v>
      </c>
      <c r="G143" s="384" t="s">
        <v>541</v>
      </c>
      <c r="H143" s="388">
        <v>181970000</v>
      </c>
      <c r="I143" s="399">
        <f>(96444100-4000000+21460000+8818000+7750000)/H143</f>
        <v>0.71699785678958072</v>
      </c>
      <c r="J143" s="388">
        <f>2000000-1400000+4023.59</f>
        <v>604023.59</v>
      </c>
      <c r="K143" s="399">
        <f>(96444100-4000000+21460000+8818000+7750000+J143)/H143</f>
        <v>0.72031721487058309</v>
      </c>
    </row>
    <row r="144" spans="2:11" ht="46.5" thickTop="1" thickBot="1" x14ac:dyDescent="0.25">
      <c r="B144" s="440" t="s">
        <v>348</v>
      </c>
      <c r="C144" s="440" t="s">
        <v>349</v>
      </c>
      <c r="D144" s="440" t="s">
        <v>351</v>
      </c>
      <c r="E144" s="440" t="s">
        <v>350</v>
      </c>
      <c r="F144" s="441" t="s">
        <v>72</v>
      </c>
      <c r="G144" s="441"/>
      <c r="H144" s="442"/>
      <c r="I144" s="441"/>
      <c r="J144" s="442">
        <f>(44383234-300000)+(6000000-500000)</f>
        <v>49583234</v>
      </c>
      <c r="K144" s="442"/>
    </row>
    <row r="145" spans="2:11" ht="16.5" thickTop="1" thickBot="1" x14ac:dyDescent="0.25">
      <c r="B145" s="440" t="s">
        <v>352</v>
      </c>
      <c r="C145" s="440" t="s">
        <v>264</v>
      </c>
      <c r="D145" s="440" t="s">
        <v>265</v>
      </c>
      <c r="E145" s="440" t="s">
        <v>53</v>
      </c>
      <c r="F145" s="441" t="s">
        <v>837</v>
      </c>
      <c r="G145" s="441"/>
      <c r="H145" s="442" t="s">
        <v>841</v>
      </c>
      <c r="I145" s="441" t="s">
        <v>841</v>
      </c>
      <c r="J145" s="442">
        <f>J146+J147+J148</f>
        <v>25688000</v>
      </c>
      <c r="K145" s="442"/>
    </row>
    <row r="146" spans="2:11" ht="151.5" thickTop="1" thickBot="1" x14ac:dyDescent="0.25">
      <c r="B146" s="440" t="s">
        <v>352</v>
      </c>
      <c r="C146" s="440" t="s">
        <v>264</v>
      </c>
      <c r="D146" s="440" t="s">
        <v>265</v>
      </c>
      <c r="E146" s="440" t="s">
        <v>53</v>
      </c>
      <c r="F146" s="451" t="s">
        <v>849</v>
      </c>
      <c r="G146" s="441"/>
      <c r="H146" s="442"/>
      <c r="I146" s="441"/>
      <c r="J146" s="445">
        <f>7000000+394000</f>
        <v>7394000</v>
      </c>
      <c r="K146" s="442"/>
    </row>
    <row r="147" spans="2:11" ht="91.5" thickTop="1" thickBot="1" x14ac:dyDescent="0.25">
      <c r="B147" s="440" t="s">
        <v>352</v>
      </c>
      <c r="C147" s="440" t="s">
        <v>264</v>
      </c>
      <c r="D147" s="440" t="s">
        <v>265</v>
      </c>
      <c r="E147" s="440" t="s">
        <v>53</v>
      </c>
      <c r="F147" s="451" t="s">
        <v>850</v>
      </c>
      <c r="G147" s="441"/>
      <c r="H147" s="442"/>
      <c r="I147" s="441"/>
      <c r="J147" s="445">
        <f>250000</f>
        <v>250000</v>
      </c>
      <c r="K147" s="442"/>
    </row>
    <row r="148" spans="2:11" ht="46.5" thickTop="1" thickBot="1" x14ac:dyDescent="0.25">
      <c r="B148" s="440" t="s">
        <v>352</v>
      </c>
      <c r="C148" s="440" t="s">
        <v>264</v>
      </c>
      <c r="D148" s="440" t="s">
        <v>265</v>
      </c>
      <c r="E148" s="440" t="s">
        <v>53</v>
      </c>
      <c r="F148" s="451" t="s">
        <v>756</v>
      </c>
      <c r="G148" s="441" t="s">
        <v>692</v>
      </c>
      <c r="H148" s="442">
        <v>29237024</v>
      </c>
      <c r="I148" s="449">
        <v>0</v>
      </c>
      <c r="J148" s="442">
        <f>15744000+2300000</f>
        <v>18044000</v>
      </c>
      <c r="K148" s="449">
        <f>J148/H148</f>
        <v>0.61716267702212102</v>
      </c>
    </row>
    <row r="149" spans="2:11" ht="31.5" thickTop="1" thickBot="1" x14ac:dyDescent="0.25">
      <c r="B149" s="440" t="s">
        <v>364</v>
      </c>
      <c r="C149" s="440" t="s">
        <v>245</v>
      </c>
      <c r="D149" s="440" t="s">
        <v>212</v>
      </c>
      <c r="E149" s="440" t="s">
        <v>43</v>
      </c>
      <c r="F149" s="441" t="s">
        <v>63</v>
      </c>
      <c r="G149" s="441"/>
      <c r="H149" s="442"/>
      <c r="I149" s="441"/>
      <c r="J149" s="442">
        <f>SUM(J150:J179)</f>
        <v>13214436</v>
      </c>
      <c r="K149" s="442"/>
    </row>
    <row r="150" spans="2:11" ht="76.5" thickTop="1" thickBot="1" x14ac:dyDescent="0.25">
      <c r="B150" s="443" t="s">
        <v>364</v>
      </c>
      <c r="C150" s="443" t="s">
        <v>245</v>
      </c>
      <c r="D150" s="443" t="s">
        <v>212</v>
      </c>
      <c r="E150" s="443" t="s">
        <v>43</v>
      </c>
      <c r="F150" s="451" t="s">
        <v>931</v>
      </c>
      <c r="G150" s="441" t="s">
        <v>644</v>
      </c>
      <c r="H150" s="445">
        <v>4398281</v>
      </c>
      <c r="I150" s="449">
        <v>0</v>
      </c>
      <c r="J150" s="445">
        <f>1000000-950000</f>
        <v>50000</v>
      </c>
      <c r="K150" s="449">
        <f>J150/H150</f>
        <v>1.1368077664887713E-2</v>
      </c>
    </row>
    <row r="151" spans="2:11" ht="121.5" hidden="1" thickTop="1" thickBot="1" x14ac:dyDescent="0.25">
      <c r="B151" s="443" t="s">
        <v>364</v>
      </c>
      <c r="C151" s="443" t="s">
        <v>245</v>
      </c>
      <c r="D151" s="443" t="s">
        <v>212</v>
      </c>
      <c r="E151" s="443" t="s">
        <v>43</v>
      </c>
      <c r="F151" s="451" t="s">
        <v>662</v>
      </c>
      <c r="G151" s="442"/>
      <c r="H151" s="445"/>
      <c r="I151" s="448"/>
      <c r="J151" s="445">
        <f>1000000-1000000</f>
        <v>0</v>
      </c>
      <c r="K151" s="442"/>
    </row>
    <row r="152" spans="2:11" ht="76.5" thickTop="1" thickBot="1" x14ac:dyDescent="0.25">
      <c r="B152" s="443" t="s">
        <v>364</v>
      </c>
      <c r="C152" s="443" t="s">
        <v>245</v>
      </c>
      <c r="D152" s="443" t="s">
        <v>212</v>
      </c>
      <c r="E152" s="443" t="s">
        <v>43</v>
      </c>
      <c r="F152" s="452" t="s">
        <v>920</v>
      </c>
      <c r="G152" s="448"/>
      <c r="H152" s="445"/>
      <c r="I152" s="448"/>
      <c r="J152" s="445">
        <f>538650-33474</f>
        <v>505176</v>
      </c>
      <c r="K152" s="442"/>
    </row>
    <row r="153" spans="2:11" ht="121.5" thickTop="1" thickBot="1" x14ac:dyDescent="0.25">
      <c r="B153" s="443" t="s">
        <v>364</v>
      </c>
      <c r="C153" s="443" t="s">
        <v>245</v>
      </c>
      <c r="D153" s="443" t="s">
        <v>212</v>
      </c>
      <c r="E153" s="443" t="s">
        <v>43</v>
      </c>
      <c r="F153" s="452" t="s">
        <v>888</v>
      </c>
      <c r="G153" s="441" t="s">
        <v>644</v>
      </c>
      <c r="H153" s="445"/>
      <c r="I153" s="448"/>
      <c r="J153" s="445">
        <v>419669</v>
      </c>
      <c r="K153" s="442"/>
    </row>
    <row r="154" spans="2:11" ht="91.5" thickTop="1" thickBot="1" x14ac:dyDescent="0.25">
      <c r="B154" s="443" t="s">
        <v>364</v>
      </c>
      <c r="C154" s="443" t="s">
        <v>245</v>
      </c>
      <c r="D154" s="443" t="s">
        <v>212</v>
      </c>
      <c r="E154" s="443" t="s">
        <v>43</v>
      </c>
      <c r="F154" s="452" t="s">
        <v>641</v>
      </c>
      <c r="G154" s="448"/>
      <c r="H154" s="445"/>
      <c r="I154" s="448"/>
      <c r="J154" s="445">
        <v>54106</v>
      </c>
      <c r="K154" s="442"/>
    </row>
    <row r="155" spans="2:11" ht="76.5" thickTop="1" thickBot="1" x14ac:dyDescent="0.25">
      <c r="B155" s="443" t="s">
        <v>364</v>
      </c>
      <c r="C155" s="443" t="s">
        <v>245</v>
      </c>
      <c r="D155" s="443" t="s">
        <v>212</v>
      </c>
      <c r="E155" s="443" t="s">
        <v>43</v>
      </c>
      <c r="F155" s="452" t="s">
        <v>889</v>
      </c>
      <c r="G155" s="463" t="s">
        <v>642</v>
      </c>
      <c r="H155" s="464">
        <v>2832291</v>
      </c>
      <c r="I155" s="399">
        <v>0.27</v>
      </c>
      <c r="J155" s="464">
        <f>200000+1868324</f>
        <v>2068324</v>
      </c>
      <c r="K155" s="399">
        <f>(775000+J155)/H155</f>
        <v>1.0038954330610803</v>
      </c>
    </row>
    <row r="156" spans="2:11" ht="46.5" thickTop="1" thickBot="1" x14ac:dyDescent="0.25">
      <c r="B156" s="443" t="s">
        <v>364</v>
      </c>
      <c r="C156" s="443" t="s">
        <v>245</v>
      </c>
      <c r="D156" s="443" t="s">
        <v>212</v>
      </c>
      <c r="E156" s="443" t="s">
        <v>43</v>
      </c>
      <c r="F156" s="452" t="s">
        <v>890</v>
      </c>
      <c r="G156" s="448"/>
      <c r="H156" s="445"/>
      <c r="I156" s="448"/>
      <c r="J156" s="445">
        <v>183000</v>
      </c>
      <c r="K156" s="442"/>
    </row>
    <row r="157" spans="2:11" ht="136.5" thickTop="1" thickBot="1" x14ac:dyDescent="0.25">
      <c r="B157" s="443" t="s">
        <v>364</v>
      </c>
      <c r="C157" s="443" t="s">
        <v>245</v>
      </c>
      <c r="D157" s="443" t="s">
        <v>212</v>
      </c>
      <c r="E157" s="443" t="s">
        <v>43</v>
      </c>
      <c r="F157" s="452" t="s">
        <v>891</v>
      </c>
      <c r="G157" s="448"/>
      <c r="H157" s="445"/>
      <c r="I157" s="448"/>
      <c r="J157" s="445">
        <v>400000</v>
      </c>
      <c r="K157" s="442"/>
    </row>
    <row r="158" spans="2:11" ht="46.5" thickTop="1" thickBot="1" x14ac:dyDescent="0.25">
      <c r="B158" s="443" t="s">
        <v>364</v>
      </c>
      <c r="C158" s="443" t="s">
        <v>245</v>
      </c>
      <c r="D158" s="443" t="s">
        <v>212</v>
      </c>
      <c r="E158" s="443" t="s">
        <v>43</v>
      </c>
      <c r="F158" s="452" t="s">
        <v>892</v>
      </c>
      <c r="G158" s="448"/>
      <c r="H158" s="445"/>
      <c r="I158" s="448"/>
      <c r="J158" s="445">
        <v>48500</v>
      </c>
      <c r="K158" s="442"/>
    </row>
    <row r="159" spans="2:11" ht="46.5" thickTop="1" thickBot="1" x14ac:dyDescent="0.25">
      <c r="B159" s="443" t="s">
        <v>364</v>
      </c>
      <c r="C159" s="443" t="s">
        <v>245</v>
      </c>
      <c r="D159" s="443" t="s">
        <v>212</v>
      </c>
      <c r="E159" s="443" t="s">
        <v>43</v>
      </c>
      <c r="F159" s="452" t="s">
        <v>893</v>
      </c>
      <c r="G159" s="448"/>
      <c r="H159" s="445"/>
      <c r="I159" s="448"/>
      <c r="J159" s="445">
        <v>33000</v>
      </c>
      <c r="K159" s="442"/>
    </row>
    <row r="160" spans="2:11" ht="61.5" thickTop="1" thickBot="1" x14ac:dyDescent="0.25">
      <c r="B160" s="443" t="s">
        <v>364</v>
      </c>
      <c r="C160" s="443" t="s">
        <v>245</v>
      </c>
      <c r="D160" s="443" t="s">
        <v>212</v>
      </c>
      <c r="E160" s="443" t="s">
        <v>43</v>
      </c>
      <c r="F160" s="452" t="s">
        <v>894</v>
      </c>
      <c r="G160" s="448"/>
      <c r="H160" s="445"/>
      <c r="I160" s="448"/>
      <c r="J160" s="445">
        <v>32000</v>
      </c>
      <c r="K160" s="442"/>
    </row>
    <row r="161" spans="2:11" ht="91.5" thickTop="1" thickBot="1" x14ac:dyDescent="0.25">
      <c r="B161" s="443" t="s">
        <v>364</v>
      </c>
      <c r="C161" s="443" t="s">
        <v>245</v>
      </c>
      <c r="D161" s="443" t="s">
        <v>212</v>
      </c>
      <c r="E161" s="443" t="s">
        <v>43</v>
      </c>
      <c r="F161" s="451" t="s">
        <v>895</v>
      </c>
      <c r="G161" s="463" t="s">
        <v>642</v>
      </c>
      <c r="H161" s="464">
        <f>830218+508200</f>
        <v>1338418</v>
      </c>
      <c r="I161" s="399">
        <f>398215.92/H161</f>
        <v>0.29752731956683187</v>
      </c>
      <c r="J161" s="464">
        <f>830218+508200</f>
        <v>1338418</v>
      </c>
      <c r="K161" s="399">
        <v>1</v>
      </c>
    </row>
    <row r="162" spans="2:11" ht="106.5" thickTop="1" thickBot="1" x14ac:dyDescent="0.25">
      <c r="B162" s="443" t="s">
        <v>364</v>
      </c>
      <c r="C162" s="443" t="s">
        <v>245</v>
      </c>
      <c r="D162" s="443" t="s">
        <v>212</v>
      </c>
      <c r="E162" s="443" t="s">
        <v>43</v>
      </c>
      <c r="F162" s="451" t="s">
        <v>572</v>
      </c>
      <c r="G162" s="448" t="s">
        <v>646</v>
      </c>
      <c r="H162" s="445">
        <v>13505700</v>
      </c>
      <c r="I162" s="449">
        <f>547420.08/H162</f>
        <v>4.0532521824118706E-2</v>
      </c>
      <c r="J162" s="445">
        <f>1000000</f>
        <v>1000000</v>
      </c>
      <c r="K162" s="449">
        <f>(547420.08+J162)/H162</f>
        <v>0.11457533337775902</v>
      </c>
    </row>
    <row r="163" spans="2:11" ht="121.5" thickTop="1" thickBot="1" x14ac:dyDescent="0.25">
      <c r="B163" s="443" t="s">
        <v>364</v>
      </c>
      <c r="C163" s="443" t="s">
        <v>245</v>
      </c>
      <c r="D163" s="443" t="s">
        <v>212</v>
      </c>
      <c r="E163" s="443" t="s">
        <v>43</v>
      </c>
      <c r="F163" s="451" t="s">
        <v>896</v>
      </c>
      <c r="G163" s="448" t="s">
        <v>642</v>
      </c>
      <c r="H163" s="445">
        <v>688000</v>
      </c>
      <c r="I163" s="449">
        <v>0.71</v>
      </c>
      <c r="J163" s="445">
        <v>200000</v>
      </c>
      <c r="K163" s="449">
        <f>1</f>
        <v>1</v>
      </c>
    </row>
    <row r="164" spans="2:11" ht="76.5" thickTop="1" thickBot="1" x14ac:dyDescent="0.25">
      <c r="B164" s="443" t="s">
        <v>364</v>
      </c>
      <c r="C164" s="443" t="s">
        <v>245</v>
      </c>
      <c r="D164" s="443" t="s">
        <v>212</v>
      </c>
      <c r="E164" s="443" t="s">
        <v>43</v>
      </c>
      <c r="F164" s="451" t="s">
        <v>897</v>
      </c>
      <c r="G164" s="448" t="s">
        <v>644</v>
      </c>
      <c r="H164" s="445">
        <v>300000</v>
      </c>
      <c r="I164" s="449">
        <v>0</v>
      </c>
      <c r="J164" s="445">
        <v>300000</v>
      </c>
      <c r="K164" s="449">
        <f>1</f>
        <v>1</v>
      </c>
    </row>
    <row r="165" spans="2:11" ht="76.5" thickTop="1" thickBot="1" x14ac:dyDescent="0.25">
      <c r="B165" s="443" t="s">
        <v>364</v>
      </c>
      <c r="C165" s="443" t="s">
        <v>245</v>
      </c>
      <c r="D165" s="443" t="s">
        <v>212</v>
      </c>
      <c r="E165" s="443" t="s">
        <v>43</v>
      </c>
      <c r="F165" s="451" t="s">
        <v>643</v>
      </c>
      <c r="G165" s="448" t="s">
        <v>644</v>
      </c>
      <c r="H165" s="445">
        <v>300000</v>
      </c>
      <c r="I165" s="449">
        <v>0</v>
      </c>
      <c r="J165" s="445">
        <v>300000</v>
      </c>
      <c r="K165" s="449">
        <f>1</f>
        <v>1</v>
      </c>
    </row>
    <row r="166" spans="2:11" ht="76.5" thickTop="1" thickBot="1" x14ac:dyDescent="0.25">
      <c r="B166" s="443" t="s">
        <v>364</v>
      </c>
      <c r="C166" s="443" t="s">
        <v>245</v>
      </c>
      <c r="D166" s="443" t="s">
        <v>212</v>
      </c>
      <c r="E166" s="443" t="s">
        <v>43</v>
      </c>
      <c r="F166" s="452" t="s">
        <v>851</v>
      </c>
      <c r="G166" s="448" t="s">
        <v>644</v>
      </c>
      <c r="H166" s="445">
        <v>1403000</v>
      </c>
      <c r="I166" s="449">
        <v>0</v>
      </c>
      <c r="J166" s="445">
        <v>1390580</v>
      </c>
      <c r="K166" s="449">
        <f>1</f>
        <v>1</v>
      </c>
    </row>
    <row r="167" spans="2:11" ht="121.5" thickTop="1" thickBot="1" x14ac:dyDescent="0.25">
      <c r="B167" s="443" t="s">
        <v>364</v>
      </c>
      <c r="C167" s="443" t="s">
        <v>245</v>
      </c>
      <c r="D167" s="443" t="s">
        <v>212</v>
      </c>
      <c r="E167" s="443" t="s">
        <v>43</v>
      </c>
      <c r="F167" s="452" t="s">
        <v>898</v>
      </c>
      <c r="G167" s="445" t="s">
        <v>500</v>
      </c>
      <c r="H167" s="445">
        <v>12460382</v>
      </c>
      <c r="I167" s="449">
        <f>(8286154.03)/H167</f>
        <v>0.66500000000000004</v>
      </c>
      <c r="J167" s="445">
        <v>250000</v>
      </c>
      <c r="K167" s="449">
        <f>(8286154.03+J167)/H167</f>
        <v>0.68506359034578568</v>
      </c>
    </row>
    <row r="168" spans="2:11" ht="91.5" hidden="1" thickTop="1" thickBot="1" x14ac:dyDescent="0.25">
      <c r="B168" s="443" t="s">
        <v>364</v>
      </c>
      <c r="C168" s="443" t="s">
        <v>245</v>
      </c>
      <c r="D168" s="443" t="s">
        <v>212</v>
      </c>
      <c r="E168" s="443" t="s">
        <v>43</v>
      </c>
      <c r="F168" s="452" t="s">
        <v>899</v>
      </c>
      <c r="G168" s="445"/>
      <c r="H168" s="445"/>
      <c r="I168" s="449"/>
      <c r="J168" s="445">
        <f>60710-60710</f>
        <v>0</v>
      </c>
      <c r="K168" s="449"/>
    </row>
    <row r="169" spans="2:11" ht="91.5" thickTop="1" thickBot="1" x14ac:dyDescent="0.25">
      <c r="B169" s="443" t="s">
        <v>364</v>
      </c>
      <c r="C169" s="443" t="s">
        <v>245</v>
      </c>
      <c r="D169" s="443" t="s">
        <v>212</v>
      </c>
      <c r="E169" s="443" t="s">
        <v>43</v>
      </c>
      <c r="F169" s="452" t="s">
        <v>852</v>
      </c>
      <c r="G169" s="448" t="s">
        <v>554</v>
      </c>
      <c r="H169" s="445">
        <v>1148433</v>
      </c>
      <c r="I169" s="449">
        <f>(114351/H169)</f>
        <v>9.9571328932554187E-2</v>
      </c>
      <c r="J169" s="445">
        <f>574222</f>
        <v>574222</v>
      </c>
      <c r="K169" s="449">
        <f>(H169*I169+J169)/H169</f>
        <v>0.59957611806696598</v>
      </c>
    </row>
    <row r="170" spans="2:11" ht="136.5" thickTop="1" thickBot="1" x14ac:dyDescent="0.25">
      <c r="B170" s="443" t="s">
        <v>364</v>
      </c>
      <c r="C170" s="443" t="s">
        <v>245</v>
      </c>
      <c r="D170" s="443" t="s">
        <v>212</v>
      </c>
      <c r="E170" s="443" t="s">
        <v>43</v>
      </c>
      <c r="F170" s="452" t="s">
        <v>691</v>
      </c>
      <c r="G170" s="445" t="s">
        <v>692</v>
      </c>
      <c r="H170" s="445">
        <v>1306200</v>
      </c>
      <c r="I170" s="449">
        <v>0</v>
      </c>
      <c r="J170" s="445">
        <v>300000</v>
      </c>
      <c r="K170" s="449">
        <f>J170/H170</f>
        <v>0.2296738631143776</v>
      </c>
    </row>
    <row r="171" spans="2:11" ht="166.5" thickTop="1" thickBot="1" x14ac:dyDescent="0.25">
      <c r="B171" s="443" t="s">
        <v>364</v>
      </c>
      <c r="C171" s="443" t="s">
        <v>245</v>
      </c>
      <c r="D171" s="443" t="s">
        <v>212</v>
      </c>
      <c r="E171" s="443" t="s">
        <v>43</v>
      </c>
      <c r="F171" s="452" t="s">
        <v>921</v>
      </c>
      <c r="G171" s="448" t="s">
        <v>644</v>
      </c>
      <c r="H171" s="445">
        <v>450000</v>
      </c>
      <c r="I171" s="449">
        <v>0</v>
      </c>
      <c r="J171" s="445">
        <v>450000</v>
      </c>
      <c r="K171" s="449">
        <v>1</v>
      </c>
    </row>
    <row r="172" spans="2:11" ht="46.5" thickTop="1" thickBot="1" x14ac:dyDescent="0.25">
      <c r="B172" s="443" t="s">
        <v>364</v>
      </c>
      <c r="C172" s="443" t="s">
        <v>245</v>
      </c>
      <c r="D172" s="443" t="s">
        <v>212</v>
      </c>
      <c r="E172" s="443" t="s">
        <v>43</v>
      </c>
      <c r="F172" s="452" t="s">
        <v>900</v>
      </c>
      <c r="G172" s="448"/>
      <c r="H172" s="445"/>
      <c r="I172" s="449"/>
      <c r="J172" s="445">
        <v>350000</v>
      </c>
      <c r="K172" s="449"/>
    </row>
    <row r="173" spans="2:11" ht="46.5" thickTop="1" thickBot="1" x14ac:dyDescent="0.25">
      <c r="B173" s="443" t="s">
        <v>364</v>
      </c>
      <c r="C173" s="443" t="s">
        <v>245</v>
      </c>
      <c r="D173" s="443" t="s">
        <v>212</v>
      </c>
      <c r="E173" s="443" t="s">
        <v>43</v>
      </c>
      <c r="F173" s="452" t="s">
        <v>901</v>
      </c>
      <c r="G173" s="448"/>
      <c r="H173" s="445"/>
      <c r="I173" s="449"/>
      <c r="J173" s="445">
        <v>500000</v>
      </c>
      <c r="K173" s="449"/>
    </row>
    <row r="174" spans="2:11" ht="61.5" thickTop="1" thickBot="1" x14ac:dyDescent="0.25">
      <c r="B174" s="443" t="s">
        <v>364</v>
      </c>
      <c r="C174" s="443" t="s">
        <v>245</v>
      </c>
      <c r="D174" s="443" t="s">
        <v>212</v>
      </c>
      <c r="E174" s="443" t="s">
        <v>43</v>
      </c>
      <c r="F174" s="452" t="s">
        <v>853</v>
      </c>
      <c r="G174" s="445" t="s">
        <v>692</v>
      </c>
      <c r="H174" s="445">
        <v>2563796</v>
      </c>
      <c r="I174" s="399">
        <v>0</v>
      </c>
      <c r="J174" s="445">
        <v>400000</v>
      </c>
      <c r="K174" s="449">
        <f>J174/H174</f>
        <v>0.15601865359022324</v>
      </c>
    </row>
    <row r="175" spans="2:11" ht="91.5" thickTop="1" thickBot="1" x14ac:dyDescent="0.25">
      <c r="B175" s="443" t="s">
        <v>364</v>
      </c>
      <c r="C175" s="443" t="s">
        <v>245</v>
      </c>
      <c r="D175" s="443" t="s">
        <v>212</v>
      </c>
      <c r="E175" s="443" t="s">
        <v>43</v>
      </c>
      <c r="F175" s="452" t="s">
        <v>930</v>
      </c>
      <c r="G175" s="448" t="s">
        <v>644</v>
      </c>
      <c r="H175" s="445">
        <v>27000</v>
      </c>
      <c r="I175" s="399">
        <v>0</v>
      </c>
      <c r="J175" s="445">
        <v>27000</v>
      </c>
      <c r="K175" s="399">
        <v>1</v>
      </c>
    </row>
    <row r="176" spans="2:11" ht="76.5" thickTop="1" thickBot="1" x14ac:dyDescent="0.25">
      <c r="B176" s="443" t="s">
        <v>364</v>
      </c>
      <c r="C176" s="443" t="s">
        <v>245</v>
      </c>
      <c r="D176" s="443" t="s">
        <v>212</v>
      </c>
      <c r="E176" s="443" t="s">
        <v>43</v>
      </c>
      <c r="F176" s="452" t="s">
        <v>911</v>
      </c>
      <c r="G176" s="448" t="s">
        <v>644</v>
      </c>
      <c r="H176" s="445">
        <v>40000</v>
      </c>
      <c r="I176" s="399">
        <v>0</v>
      </c>
      <c r="J176" s="445">
        <v>40000</v>
      </c>
      <c r="K176" s="399">
        <v>1</v>
      </c>
    </row>
    <row r="177" spans="1:12" ht="76.5" thickTop="1" thickBot="1" x14ac:dyDescent="0.25">
      <c r="B177" s="443" t="s">
        <v>364</v>
      </c>
      <c r="C177" s="443" t="s">
        <v>245</v>
      </c>
      <c r="D177" s="443" t="s">
        <v>212</v>
      </c>
      <c r="E177" s="443" t="s">
        <v>43</v>
      </c>
      <c r="F177" s="452" t="s">
        <v>902</v>
      </c>
      <c r="G177" s="448" t="s">
        <v>644</v>
      </c>
      <c r="H177" s="464">
        <v>1500000</v>
      </c>
      <c r="I177" s="399">
        <v>0</v>
      </c>
      <c r="J177" s="464">
        <v>1500000</v>
      </c>
      <c r="K177" s="399">
        <v>1</v>
      </c>
    </row>
    <row r="178" spans="1:12" ht="31.5" thickTop="1" thickBot="1" x14ac:dyDescent="0.25">
      <c r="B178" s="443" t="s">
        <v>364</v>
      </c>
      <c r="C178" s="443" t="s">
        <v>245</v>
      </c>
      <c r="D178" s="443" t="s">
        <v>212</v>
      </c>
      <c r="E178" s="443" t="s">
        <v>43</v>
      </c>
      <c r="F178" s="452" t="s">
        <v>663</v>
      </c>
      <c r="G178" s="445"/>
      <c r="H178" s="445"/>
      <c r="I178" s="448"/>
      <c r="J178" s="445">
        <v>200000</v>
      </c>
      <c r="K178" s="449"/>
    </row>
    <row r="179" spans="1:12" ht="61.5" thickTop="1" thickBot="1" x14ac:dyDescent="0.25">
      <c r="B179" s="443" t="s">
        <v>364</v>
      </c>
      <c r="C179" s="443" t="s">
        <v>245</v>
      </c>
      <c r="D179" s="443" t="s">
        <v>212</v>
      </c>
      <c r="E179" s="443" t="s">
        <v>43</v>
      </c>
      <c r="F179" s="452" t="s">
        <v>645</v>
      </c>
      <c r="G179" s="448" t="s">
        <v>644</v>
      </c>
      <c r="H179" s="445">
        <v>300411</v>
      </c>
      <c r="I179" s="448"/>
      <c r="J179" s="445">
        <v>300441</v>
      </c>
      <c r="K179" s="449">
        <f>J179/H179</f>
        <v>1.0000998631874332</v>
      </c>
    </row>
    <row r="180" spans="1:12" ht="16.5" thickTop="1" thickBot="1" x14ac:dyDescent="0.25">
      <c r="B180" s="379" t="s">
        <v>302</v>
      </c>
      <c r="C180" s="379" t="s">
        <v>303</v>
      </c>
      <c r="D180" s="379" t="s">
        <v>304</v>
      </c>
      <c r="E180" s="379" t="s">
        <v>301</v>
      </c>
      <c r="F180" s="387" t="s">
        <v>72</v>
      </c>
      <c r="G180" s="387"/>
      <c r="H180" s="385"/>
      <c r="I180" s="384"/>
      <c r="J180" s="388">
        <v>48000</v>
      </c>
      <c r="K180" s="399"/>
    </row>
    <row r="181" spans="1:12" ht="76.5" thickTop="1" thickBot="1" x14ac:dyDescent="0.25">
      <c r="B181" s="421" t="s">
        <v>30</v>
      </c>
      <c r="C181" s="421"/>
      <c r="D181" s="421"/>
      <c r="E181" s="422" t="s">
        <v>462</v>
      </c>
      <c r="F181" s="421"/>
      <c r="G181" s="421"/>
      <c r="H181" s="421"/>
      <c r="I181" s="421"/>
      <c r="J181" s="423">
        <f>J182</f>
        <v>69770172</v>
      </c>
      <c r="K181" s="421"/>
    </row>
    <row r="182" spans="1:12" ht="72.75" thickTop="1" thickBot="1" x14ac:dyDescent="0.25">
      <c r="A182" s="239"/>
      <c r="B182" s="424" t="s">
        <v>31</v>
      </c>
      <c r="C182" s="424"/>
      <c r="D182" s="424"/>
      <c r="E182" s="425" t="s">
        <v>461</v>
      </c>
      <c r="F182" s="424"/>
      <c r="G182" s="424"/>
      <c r="H182" s="424"/>
      <c r="I182" s="424"/>
      <c r="J182" s="426">
        <f>SUM(J183:J201)</f>
        <v>69770172</v>
      </c>
      <c r="K182" s="424"/>
    </row>
    <row r="183" spans="1:12" ht="76.5" thickTop="1" thickBot="1" x14ac:dyDescent="0.25">
      <c r="A183" s="239"/>
      <c r="B183" s="454" t="s">
        <v>556</v>
      </c>
      <c r="C183" s="454" t="s">
        <v>558</v>
      </c>
      <c r="D183" s="454" t="s">
        <v>243</v>
      </c>
      <c r="E183" s="454" t="s">
        <v>557</v>
      </c>
      <c r="F183" s="411" t="s">
        <v>625</v>
      </c>
      <c r="G183" s="442" t="s">
        <v>571</v>
      </c>
      <c r="H183" s="442">
        <f>282861499</f>
        <v>282861499</v>
      </c>
      <c r="I183" s="449">
        <f>(7688.93+54000000+1828602.38+4500000+4000000+19787000+27000000-12500000+3500000)/H183</f>
        <v>0.36103637883217188</v>
      </c>
      <c r="J183" s="442">
        <f>10000000+5000000</f>
        <v>15000000</v>
      </c>
      <c r="K183" s="449">
        <f>(7688.93+54000000+1828602.38+4500000+4000000+19787000+27000000-12500000+3500000+J183)/H183</f>
        <v>0.41406586518160254</v>
      </c>
    </row>
    <row r="184" spans="1:12" ht="61.5" thickTop="1" thickBot="1" x14ac:dyDescent="0.25">
      <c r="B184" s="454" t="s">
        <v>373</v>
      </c>
      <c r="C184" s="454" t="s">
        <v>374</v>
      </c>
      <c r="D184" s="454" t="s">
        <v>361</v>
      </c>
      <c r="E184" s="454" t="s">
        <v>372</v>
      </c>
      <c r="F184" s="455" t="s">
        <v>626</v>
      </c>
      <c r="G184" s="456" t="s">
        <v>832</v>
      </c>
      <c r="H184" s="456">
        <v>30010059</v>
      </c>
      <c r="I184" s="457">
        <f>(6780978.96+5400000-815000)/H184</f>
        <v>0.37873897415529911</v>
      </c>
      <c r="J184" s="456">
        <f>2000000+1000000</f>
        <v>3000000</v>
      </c>
      <c r="K184" s="457">
        <f>(11364795.14+3000000)/H184</f>
        <v>0.47866600795419967</v>
      </c>
      <c r="L184" s="95"/>
    </row>
    <row r="185" spans="1:12" ht="76.5" thickTop="1" thickBot="1" x14ac:dyDescent="0.25">
      <c r="B185" s="454" t="s">
        <v>373</v>
      </c>
      <c r="C185" s="454" t="s">
        <v>374</v>
      </c>
      <c r="D185" s="454" t="s">
        <v>361</v>
      </c>
      <c r="E185" s="454" t="s">
        <v>372</v>
      </c>
      <c r="F185" s="455" t="s">
        <v>854</v>
      </c>
      <c r="G185" s="456" t="s">
        <v>627</v>
      </c>
      <c r="H185" s="456">
        <f>30737344</f>
        <v>30737344</v>
      </c>
      <c r="I185" s="457">
        <f>(10960233.58+6550000-875000)/H185</f>
        <v>0.54120595390414994</v>
      </c>
      <c r="J185" s="456">
        <f>6000000+3000000</f>
        <v>9000000</v>
      </c>
      <c r="K185" s="457">
        <f>(10960233.58+6550000-875000+J185)/H185</f>
        <v>0.83400939196307911</v>
      </c>
      <c r="L185" s="95"/>
    </row>
    <row r="186" spans="1:12" ht="76.5" thickTop="1" thickBot="1" x14ac:dyDescent="0.25">
      <c r="B186" s="454" t="s">
        <v>373</v>
      </c>
      <c r="C186" s="454" t="s">
        <v>374</v>
      </c>
      <c r="D186" s="454" t="s">
        <v>361</v>
      </c>
      <c r="E186" s="454" t="s">
        <v>372</v>
      </c>
      <c r="F186" s="455" t="s">
        <v>463</v>
      </c>
      <c r="G186" s="442" t="s">
        <v>542</v>
      </c>
      <c r="H186" s="442">
        <f>9300000+10829899</f>
        <v>20129899</v>
      </c>
      <c r="I186" s="449">
        <f>(300094.58+4750000-290000)/H186</f>
        <v>0.23646887547721923</v>
      </c>
      <c r="J186" s="442">
        <f>1200000</f>
        <v>1200000</v>
      </c>
      <c r="K186" s="449">
        <f>(5081689.02+J186)/H186</f>
        <v>0.31205765215215436</v>
      </c>
      <c r="L186" s="95"/>
    </row>
    <row r="187" spans="1:12" ht="61.5" thickTop="1" thickBot="1" x14ac:dyDescent="0.25">
      <c r="B187" s="454" t="s">
        <v>373</v>
      </c>
      <c r="C187" s="454" t="s">
        <v>374</v>
      </c>
      <c r="D187" s="454" t="s">
        <v>361</v>
      </c>
      <c r="E187" s="454" t="s">
        <v>372</v>
      </c>
      <c r="F187" s="455" t="s">
        <v>628</v>
      </c>
      <c r="G187" s="442" t="s">
        <v>542</v>
      </c>
      <c r="H187" s="442">
        <f>8700000+6796500</f>
        <v>15496500</v>
      </c>
      <c r="I187" s="449">
        <f>(938042.78+7700000-479950)/H187</f>
        <v>0.52644744168037938</v>
      </c>
      <c r="J187" s="442">
        <f>3000000+1000000</f>
        <v>4000000</v>
      </c>
      <c r="K187" s="449">
        <f>(938042.78+7700000-479950+J187)/H187</f>
        <v>0.78457024360339422</v>
      </c>
      <c r="L187" s="95"/>
    </row>
    <row r="188" spans="1:12" ht="76.5" thickTop="1" thickBot="1" x14ac:dyDescent="0.25">
      <c r="B188" s="454" t="s">
        <v>373</v>
      </c>
      <c r="C188" s="454" t="s">
        <v>374</v>
      </c>
      <c r="D188" s="454" t="s">
        <v>361</v>
      </c>
      <c r="E188" s="454" t="s">
        <v>372</v>
      </c>
      <c r="F188" s="455" t="s">
        <v>855</v>
      </c>
      <c r="G188" s="458"/>
      <c r="H188" s="442"/>
      <c r="I188" s="442"/>
      <c r="J188" s="442">
        <v>200000</v>
      </c>
      <c r="K188" s="449"/>
      <c r="L188" s="95"/>
    </row>
    <row r="189" spans="1:12" ht="46.5" thickTop="1" thickBot="1" x14ac:dyDescent="0.25">
      <c r="B189" s="454" t="s">
        <v>751</v>
      </c>
      <c r="C189" s="454" t="s">
        <v>752</v>
      </c>
      <c r="D189" s="454" t="s">
        <v>361</v>
      </c>
      <c r="E189" s="454" t="s">
        <v>856</v>
      </c>
      <c r="F189" s="455" t="s">
        <v>857</v>
      </c>
      <c r="G189" s="442"/>
      <c r="H189" s="442">
        <v>21098584</v>
      </c>
      <c r="I189" s="449">
        <f>476664/H189</f>
        <v>2.2592227042345592E-2</v>
      </c>
      <c r="J189" s="442">
        <f>52378+100000</f>
        <v>152378</v>
      </c>
      <c r="K189" s="449">
        <f>(476664+J189)/H189</f>
        <v>2.9814417877522016E-2</v>
      </c>
      <c r="L189" s="95"/>
    </row>
    <row r="190" spans="1:12" ht="61.5" thickTop="1" thickBot="1" x14ac:dyDescent="0.25">
      <c r="B190" s="454" t="s">
        <v>375</v>
      </c>
      <c r="C190" s="454" t="s">
        <v>376</v>
      </c>
      <c r="D190" s="454" t="s">
        <v>361</v>
      </c>
      <c r="E190" s="454" t="s">
        <v>377</v>
      </c>
      <c r="F190" s="459" t="s">
        <v>559</v>
      </c>
      <c r="G190" s="442" t="s">
        <v>906</v>
      </c>
      <c r="H190" s="456">
        <v>291782434</v>
      </c>
      <c r="I190" s="449">
        <f>(503989.26+450000-250000)/H190</f>
        <v>2.412719814380601E-3</v>
      </c>
      <c r="J190" s="456">
        <v>500000</v>
      </c>
      <c r="K190" s="449">
        <f>(762534.56+J190)/H190</f>
        <v>4.3269724729213827E-3</v>
      </c>
      <c r="L190" s="95"/>
    </row>
    <row r="191" spans="1:12" ht="76.5" thickTop="1" thickBot="1" x14ac:dyDescent="0.25">
      <c r="B191" s="454" t="s">
        <v>375</v>
      </c>
      <c r="C191" s="454" t="s">
        <v>376</v>
      </c>
      <c r="D191" s="454" t="s">
        <v>361</v>
      </c>
      <c r="E191" s="454" t="s">
        <v>377</v>
      </c>
      <c r="F191" s="455" t="s">
        <v>629</v>
      </c>
      <c r="G191" s="442" t="s">
        <v>630</v>
      </c>
      <c r="H191" s="442">
        <v>114917587</v>
      </c>
      <c r="I191" s="449">
        <f>(730683.68+50000-450000)/H191</f>
        <v>2.8775724293619224E-3</v>
      </c>
      <c r="J191" s="442">
        <f>500000-400000</f>
        <v>100000</v>
      </c>
      <c r="K191" s="449">
        <f>(762534.56+J191)/H191</f>
        <v>7.5056793526303341E-3</v>
      </c>
      <c r="L191" s="95"/>
    </row>
    <row r="192" spans="1:12" ht="76.5" thickTop="1" thickBot="1" x14ac:dyDescent="0.25">
      <c r="B192" s="454" t="s">
        <v>378</v>
      </c>
      <c r="C192" s="454" t="s">
        <v>379</v>
      </c>
      <c r="D192" s="454" t="s">
        <v>361</v>
      </c>
      <c r="E192" s="454" t="s">
        <v>631</v>
      </c>
      <c r="F192" s="455" t="s">
        <v>457</v>
      </c>
      <c r="G192" s="456" t="s">
        <v>907</v>
      </c>
      <c r="H192" s="456">
        <v>37427012</v>
      </c>
      <c r="I192" s="457">
        <f>(14986735.68+2000000-500000-340668)/H192</f>
        <v>0.43140146159677401</v>
      </c>
      <c r="J192" s="456">
        <f>3000000-1902378</f>
        <v>1097622</v>
      </c>
      <c r="K192" s="457">
        <f>(16146066.81+J192)/H192</f>
        <v>0.46072843886121612</v>
      </c>
      <c r="L192" s="95"/>
    </row>
    <row r="193" spans="1:12" ht="46.5" thickTop="1" thickBot="1" x14ac:dyDescent="0.25">
      <c r="B193" s="454" t="s">
        <v>378</v>
      </c>
      <c r="C193" s="454" t="s">
        <v>379</v>
      </c>
      <c r="D193" s="454" t="s">
        <v>361</v>
      </c>
      <c r="E193" s="454" t="s">
        <v>631</v>
      </c>
      <c r="F193" s="455" t="s">
        <v>858</v>
      </c>
      <c r="G193" s="456" t="s">
        <v>542</v>
      </c>
      <c r="H193" s="456">
        <v>32296985</v>
      </c>
      <c r="I193" s="457">
        <f>(8231685.65+10500000-507000-817788)/H193</f>
        <v>0.5389635487646911</v>
      </c>
      <c r="J193" s="456">
        <f>5000000+3000000</f>
        <v>8000000</v>
      </c>
      <c r="K193" s="457">
        <f>(17406897.39+J193)/H193</f>
        <v>0.78666468061956873</v>
      </c>
      <c r="L193" s="95"/>
    </row>
    <row r="194" spans="1:12" ht="76.5" thickTop="1" thickBot="1" x14ac:dyDescent="0.25">
      <c r="B194" s="454" t="s">
        <v>378</v>
      </c>
      <c r="C194" s="454" t="s">
        <v>379</v>
      </c>
      <c r="D194" s="454" t="s">
        <v>361</v>
      </c>
      <c r="E194" s="454" t="s">
        <v>631</v>
      </c>
      <c r="F194" s="455" t="s">
        <v>455</v>
      </c>
      <c r="G194" s="456" t="s">
        <v>542</v>
      </c>
      <c r="H194" s="456">
        <v>10111121</v>
      </c>
      <c r="I194" s="457">
        <f>(4643626.69+2467500-206841)/H194</f>
        <v>0.68284077403484744</v>
      </c>
      <c r="J194" s="456">
        <v>1000000</v>
      </c>
      <c r="K194" s="457">
        <f>(6904285.16+J194)/H194</f>
        <v>0.78174172379106133</v>
      </c>
      <c r="L194" s="95"/>
    </row>
    <row r="195" spans="1:12" ht="46.5" thickTop="1" thickBot="1" x14ac:dyDescent="0.25">
      <c r="B195" s="454" t="s">
        <v>378</v>
      </c>
      <c r="C195" s="454" t="s">
        <v>379</v>
      </c>
      <c r="D195" s="454" t="s">
        <v>361</v>
      </c>
      <c r="E195" s="454" t="s">
        <v>631</v>
      </c>
      <c r="F195" s="460" t="s">
        <v>632</v>
      </c>
      <c r="G195" s="442" t="s">
        <v>543</v>
      </c>
      <c r="H195" s="456">
        <v>15977719</v>
      </c>
      <c r="I195" s="457">
        <f>(2226073.25+2000000-993000)/H195</f>
        <v>0.20234886156152829</v>
      </c>
      <c r="J195" s="456">
        <f>3800000+500000</f>
        <v>4300000</v>
      </c>
      <c r="K195" s="457">
        <f>(10084713.31+J195)/H195</f>
        <v>0.90029830353131135</v>
      </c>
      <c r="L195" s="95"/>
    </row>
    <row r="196" spans="1:12" ht="46.5" thickTop="1" thickBot="1" x14ac:dyDescent="0.25">
      <c r="B196" s="454" t="s">
        <v>378</v>
      </c>
      <c r="C196" s="454" t="s">
        <v>379</v>
      </c>
      <c r="D196" s="454" t="s">
        <v>361</v>
      </c>
      <c r="E196" s="454" t="s">
        <v>631</v>
      </c>
      <c r="F196" s="460" t="s">
        <v>859</v>
      </c>
      <c r="G196" s="442" t="s">
        <v>909</v>
      </c>
      <c r="H196" s="456">
        <v>65017720</v>
      </c>
      <c r="I196" s="457">
        <f>(415790)/H196</f>
        <v>6.395025848337961E-3</v>
      </c>
      <c r="J196" s="456">
        <f>2000000</f>
        <v>2000000</v>
      </c>
      <c r="K196" s="457">
        <f>(415790+J196)/H196</f>
        <v>3.7155870738008037E-2</v>
      </c>
      <c r="L196" s="95"/>
    </row>
    <row r="197" spans="1:12" ht="61.5" thickTop="1" thickBot="1" x14ac:dyDescent="0.25">
      <c r="B197" s="454" t="s">
        <v>378</v>
      </c>
      <c r="C197" s="454" t="s">
        <v>379</v>
      </c>
      <c r="D197" s="454" t="s">
        <v>361</v>
      </c>
      <c r="E197" s="454" t="s">
        <v>631</v>
      </c>
      <c r="F197" s="460" t="s">
        <v>860</v>
      </c>
      <c r="G197" s="388"/>
      <c r="H197" s="456">
        <v>53314687</v>
      </c>
      <c r="I197" s="457">
        <f>1368673.51/H197</f>
        <v>2.5671603586456392E-2</v>
      </c>
      <c r="J197" s="456">
        <v>50000</v>
      </c>
      <c r="K197" s="457">
        <f>(1368673.51+J197)/H197</f>
        <v>2.6609431468668288E-2</v>
      </c>
      <c r="L197" s="95"/>
    </row>
    <row r="198" spans="1:12" ht="76.5" thickTop="1" thickBot="1" x14ac:dyDescent="0.25">
      <c r="B198" s="454" t="s">
        <v>378</v>
      </c>
      <c r="C198" s="454" t="s">
        <v>379</v>
      </c>
      <c r="D198" s="454" t="s">
        <v>361</v>
      </c>
      <c r="E198" s="454" t="s">
        <v>631</v>
      </c>
      <c r="F198" s="460" t="s">
        <v>861</v>
      </c>
      <c r="G198" s="442"/>
      <c r="H198" s="456"/>
      <c r="I198" s="457"/>
      <c r="J198" s="456">
        <v>100000</v>
      </c>
      <c r="K198" s="457"/>
      <c r="L198" s="95"/>
    </row>
    <row r="199" spans="1:12" ht="91.5" thickTop="1" thickBot="1" x14ac:dyDescent="0.25">
      <c r="B199" s="454" t="s">
        <v>378</v>
      </c>
      <c r="C199" s="454" t="s">
        <v>379</v>
      </c>
      <c r="D199" s="454" t="s">
        <v>361</v>
      </c>
      <c r="E199" s="454" t="s">
        <v>631</v>
      </c>
      <c r="F199" s="460" t="s">
        <v>862</v>
      </c>
      <c r="G199" s="442"/>
      <c r="H199" s="456"/>
      <c r="I199" s="457"/>
      <c r="J199" s="456">
        <v>200000</v>
      </c>
      <c r="K199" s="457"/>
      <c r="L199" s="95"/>
    </row>
    <row r="200" spans="1:12" ht="61.5" thickTop="1" thickBot="1" x14ac:dyDescent="0.25">
      <c r="B200" s="454" t="s">
        <v>575</v>
      </c>
      <c r="C200" s="454" t="s">
        <v>429</v>
      </c>
      <c r="D200" s="454" t="s">
        <v>212</v>
      </c>
      <c r="E200" s="454" t="s">
        <v>372</v>
      </c>
      <c r="F200" s="455" t="s">
        <v>454</v>
      </c>
      <c r="G200" s="456" t="s">
        <v>542</v>
      </c>
      <c r="H200" s="456">
        <v>30084395</v>
      </c>
      <c r="I200" s="457">
        <f>(4432837.35+9700000-18600)/H200</f>
        <v>0.46915476777910942</v>
      </c>
      <c r="J200" s="456">
        <f>8000000+7970172</f>
        <v>15970172</v>
      </c>
      <c r="K200" s="457">
        <f>(4432837.35+9700000-18600+J200)/H200</f>
        <v>1.0000004769914768</v>
      </c>
      <c r="L200" s="95"/>
    </row>
    <row r="201" spans="1:12" ht="46.5" thickTop="1" thickBot="1" x14ac:dyDescent="0.25">
      <c r="B201" s="454" t="s">
        <v>575</v>
      </c>
      <c r="C201" s="454" t="s">
        <v>429</v>
      </c>
      <c r="D201" s="454" t="s">
        <v>212</v>
      </c>
      <c r="E201" s="454" t="s">
        <v>315</v>
      </c>
      <c r="F201" s="461" t="s">
        <v>456</v>
      </c>
      <c r="G201" s="456" t="s">
        <v>908</v>
      </c>
      <c r="H201" s="456">
        <v>204203314</v>
      </c>
      <c r="I201" s="457">
        <f>(73593164.93+17500000-564343)/H201</f>
        <v>0.44332689884748888</v>
      </c>
      <c r="J201" s="456">
        <f>15000000-3000000-8000000-100000</f>
        <v>3900000</v>
      </c>
      <c r="K201" s="457">
        <f>(73593164.93+17500000-564343+J201)/H201</f>
        <v>0.46242551151740863</v>
      </c>
      <c r="L201" s="95"/>
    </row>
    <row r="202" spans="1:12" ht="76.5" thickTop="1" thickBot="1" x14ac:dyDescent="0.25">
      <c r="B202" s="421" t="s">
        <v>202</v>
      </c>
      <c r="C202" s="421"/>
      <c r="D202" s="421"/>
      <c r="E202" s="422" t="s">
        <v>32</v>
      </c>
      <c r="F202" s="421"/>
      <c r="G202" s="421"/>
      <c r="H202" s="421"/>
      <c r="I202" s="421"/>
      <c r="J202" s="423">
        <f>J203</f>
        <v>441220</v>
      </c>
      <c r="K202" s="421"/>
      <c r="L202" s="95"/>
    </row>
    <row r="203" spans="1:12" ht="72.75" thickTop="1" thickBot="1" x14ac:dyDescent="0.25">
      <c r="B203" s="424" t="s">
        <v>203</v>
      </c>
      <c r="C203" s="424"/>
      <c r="D203" s="424"/>
      <c r="E203" s="425" t="s">
        <v>50</v>
      </c>
      <c r="F203" s="424"/>
      <c r="G203" s="424"/>
      <c r="H203" s="424"/>
      <c r="I203" s="424"/>
      <c r="J203" s="426">
        <f>J204</f>
        <v>441220</v>
      </c>
      <c r="K203" s="424"/>
      <c r="L203" s="95"/>
    </row>
    <row r="204" spans="1:12" ht="76.5" thickTop="1" thickBot="1" x14ac:dyDescent="0.25">
      <c r="B204" s="379" t="s">
        <v>757</v>
      </c>
      <c r="C204" s="379" t="s">
        <v>758</v>
      </c>
      <c r="D204" s="379" t="s">
        <v>361</v>
      </c>
      <c r="E204" s="379" t="s">
        <v>759</v>
      </c>
      <c r="F204" s="453" t="s">
        <v>903</v>
      </c>
      <c r="G204" s="385"/>
      <c r="H204" s="385"/>
      <c r="I204" s="400"/>
      <c r="J204" s="385">
        <v>441220</v>
      </c>
      <c r="K204" s="400"/>
      <c r="L204" s="95"/>
    </row>
    <row r="205" spans="1:12" ht="46.5" thickTop="1" thickBot="1" x14ac:dyDescent="0.25">
      <c r="B205" s="421" t="s">
        <v>594</v>
      </c>
      <c r="C205" s="421"/>
      <c r="D205" s="421"/>
      <c r="E205" s="422" t="s">
        <v>596</v>
      </c>
      <c r="F205" s="421"/>
      <c r="G205" s="421"/>
      <c r="H205" s="421"/>
      <c r="I205" s="421"/>
      <c r="J205" s="423">
        <f>J206</f>
        <v>49000</v>
      </c>
      <c r="K205" s="421"/>
    </row>
    <row r="206" spans="1:12" ht="44.25" thickTop="1" thickBot="1" x14ac:dyDescent="0.25">
      <c r="B206" s="424" t="s">
        <v>595</v>
      </c>
      <c r="C206" s="424"/>
      <c r="D206" s="424"/>
      <c r="E206" s="425" t="s">
        <v>597</v>
      </c>
      <c r="F206" s="424"/>
      <c r="G206" s="424"/>
      <c r="H206" s="424"/>
      <c r="I206" s="424"/>
      <c r="J206" s="426">
        <f>J207</f>
        <v>49000</v>
      </c>
      <c r="K206" s="424"/>
    </row>
    <row r="207" spans="1:12" ht="46.5" thickTop="1" thickBot="1" x14ac:dyDescent="0.25">
      <c r="A207" s="390"/>
      <c r="B207" s="379" t="s">
        <v>598</v>
      </c>
      <c r="C207" s="379" t="s">
        <v>288</v>
      </c>
      <c r="D207" s="379" t="s">
        <v>286</v>
      </c>
      <c r="E207" s="379" t="s">
        <v>287</v>
      </c>
      <c r="F207" s="380" t="s">
        <v>783</v>
      </c>
      <c r="G207" s="381"/>
      <c r="H207" s="382"/>
      <c r="I207" s="381"/>
      <c r="J207" s="383">
        <v>49000</v>
      </c>
      <c r="K207" s="383"/>
    </row>
    <row r="208" spans="1:12" ht="31.5" thickTop="1" thickBot="1" x14ac:dyDescent="0.25">
      <c r="A208" s="113"/>
      <c r="B208" s="421" t="s">
        <v>208</v>
      </c>
      <c r="C208" s="421"/>
      <c r="D208" s="421"/>
      <c r="E208" s="422" t="s">
        <v>433</v>
      </c>
      <c r="F208" s="421"/>
      <c r="G208" s="421"/>
      <c r="H208" s="421"/>
      <c r="I208" s="421"/>
      <c r="J208" s="423">
        <f>J209</f>
        <v>420000</v>
      </c>
      <c r="K208" s="421"/>
    </row>
    <row r="209" spans="1:18" ht="44.25" thickTop="1" thickBot="1" x14ac:dyDescent="0.25">
      <c r="A209" s="113"/>
      <c r="B209" s="424" t="s">
        <v>209</v>
      </c>
      <c r="C209" s="424"/>
      <c r="D209" s="424"/>
      <c r="E209" s="425" t="s">
        <v>434</v>
      </c>
      <c r="F209" s="424"/>
      <c r="G209" s="424"/>
      <c r="H209" s="424"/>
      <c r="I209" s="424"/>
      <c r="J209" s="426">
        <f>SUM(J210:J211)</f>
        <v>420000</v>
      </c>
      <c r="K209" s="424"/>
    </row>
    <row r="210" spans="1:18" ht="31.5" hidden="1" thickTop="1" thickBot="1" x14ac:dyDescent="0.25">
      <c r="A210" s="390"/>
      <c r="B210" s="379" t="s">
        <v>428</v>
      </c>
      <c r="C210" s="379" t="s">
        <v>429</v>
      </c>
      <c r="D210" s="379" t="s">
        <v>212</v>
      </c>
      <c r="E210" s="379" t="s">
        <v>315</v>
      </c>
      <c r="F210" s="387" t="s">
        <v>72</v>
      </c>
      <c r="G210" s="384"/>
      <c r="H210" s="388"/>
      <c r="I210" s="384"/>
      <c r="J210" s="388">
        <f>(3000000)-3000000</f>
        <v>0</v>
      </c>
      <c r="K210" s="388"/>
    </row>
    <row r="211" spans="1:18" ht="31.5" thickTop="1" thickBot="1" x14ac:dyDescent="0.25">
      <c r="A211" s="390"/>
      <c r="B211" s="379" t="s">
        <v>309</v>
      </c>
      <c r="C211" s="379" t="s">
        <v>310</v>
      </c>
      <c r="D211" s="379" t="s">
        <v>212</v>
      </c>
      <c r="E211" s="379" t="s">
        <v>308</v>
      </c>
      <c r="F211" s="387" t="s">
        <v>72</v>
      </c>
      <c r="G211" s="384"/>
      <c r="H211" s="388"/>
      <c r="I211" s="384"/>
      <c r="J211" s="388">
        <f>(200000)+220000</f>
        <v>420000</v>
      </c>
      <c r="K211" s="388"/>
    </row>
    <row r="212" spans="1:18" ht="76.5" thickTop="1" thickBot="1" x14ac:dyDescent="0.25">
      <c r="B212" s="421" t="s">
        <v>204</v>
      </c>
      <c r="C212" s="421"/>
      <c r="D212" s="421"/>
      <c r="E212" s="422" t="s">
        <v>564</v>
      </c>
      <c r="F212" s="421"/>
      <c r="G212" s="421"/>
      <c r="H212" s="421"/>
      <c r="I212" s="421"/>
      <c r="J212" s="423">
        <f>J213</f>
        <v>300000</v>
      </c>
      <c r="K212" s="421"/>
    </row>
    <row r="213" spans="1:18" ht="87" thickTop="1" thickBot="1" x14ac:dyDescent="0.25">
      <c r="B213" s="424" t="s">
        <v>205</v>
      </c>
      <c r="C213" s="424"/>
      <c r="D213" s="424"/>
      <c r="E213" s="425" t="s">
        <v>565</v>
      </c>
      <c r="F213" s="424"/>
      <c r="G213" s="424"/>
      <c r="H213" s="424"/>
      <c r="I213" s="424"/>
      <c r="J213" s="426">
        <f>SUM(J214:J218)</f>
        <v>300000</v>
      </c>
      <c r="K213" s="424"/>
    </row>
    <row r="214" spans="1:18" ht="46.5" hidden="1" thickTop="1" thickBot="1" x14ac:dyDescent="0.25">
      <c r="B214" s="367" t="s">
        <v>522</v>
      </c>
      <c r="C214" s="367" t="s">
        <v>288</v>
      </c>
      <c r="D214" s="367" t="s">
        <v>286</v>
      </c>
      <c r="E214" s="367" t="s">
        <v>287</v>
      </c>
      <c r="F214" s="368" t="s">
        <v>783</v>
      </c>
      <c r="G214" s="369"/>
      <c r="H214" s="370"/>
      <c r="I214" s="369"/>
      <c r="J214" s="362"/>
      <c r="K214" s="362"/>
    </row>
    <row r="215" spans="1:18" ht="31.5" thickTop="1" thickBot="1" x14ac:dyDescent="0.25">
      <c r="B215" s="379" t="s">
        <v>365</v>
      </c>
      <c r="C215" s="379" t="s">
        <v>366</v>
      </c>
      <c r="D215" s="379" t="s">
        <v>367</v>
      </c>
      <c r="E215" s="379" t="s">
        <v>624</v>
      </c>
      <c r="F215" s="453" t="s">
        <v>41</v>
      </c>
      <c r="G215" s="387"/>
      <c r="H215" s="385"/>
      <c r="I215" s="384"/>
      <c r="J215" s="462">
        <v>20000</v>
      </c>
      <c r="K215" s="385"/>
    </row>
    <row r="216" spans="1:18" ht="46.5" thickTop="1" thickBot="1" x14ac:dyDescent="0.25">
      <c r="B216" s="379" t="s">
        <v>365</v>
      </c>
      <c r="C216" s="379" t="s">
        <v>366</v>
      </c>
      <c r="D216" s="379" t="s">
        <v>367</v>
      </c>
      <c r="E216" s="379" t="s">
        <v>624</v>
      </c>
      <c r="F216" s="453" t="s">
        <v>386</v>
      </c>
      <c r="G216" s="387"/>
      <c r="H216" s="385"/>
      <c r="I216" s="384"/>
      <c r="J216" s="462">
        <v>20000</v>
      </c>
      <c r="K216" s="385"/>
    </row>
    <row r="217" spans="1:18" ht="31.5" thickTop="1" thickBot="1" x14ac:dyDescent="0.25">
      <c r="B217" s="379" t="s">
        <v>365</v>
      </c>
      <c r="C217" s="379" t="s">
        <v>366</v>
      </c>
      <c r="D217" s="379" t="s">
        <v>367</v>
      </c>
      <c r="E217" s="379" t="s">
        <v>624</v>
      </c>
      <c r="F217" s="453" t="s">
        <v>42</v>
      </c>
      <c r="G217" s="387"/>
      <c r="H217" s="385"/>
      <c r="I217" s="384"/>
      <c r="J217" s="462">
        <v>210000</v>
      </c>
      <c r="K217" s="385"/>
    </row>
    <row r="218" spans="1:18" ht="46.5" thickTop="1" thickBot="1" x14ac:dyDescent="0.25">
      <c r="B218" s="379" t="s">
        <v>451</v>
      </c>
      <c r="C218" s="379" t="s">
        <v>452</v>
      </c>
      <c r="D218" s="379" t="s">
        <v>212</v>
      </c>
      <c r="E218" s="379" t="s">
        <v>453</v>
      </c>
      <c r="F218" s="453" t="s">
        <v>387</v>
      </c>
      <c r="G218" s="387"/>
      <c r="H218" s="385"/>
      <c r="I218" s="384"/>
      <c r="J218" s="462">
        <v>50000</v>
      </c>
      <c r="K218" s="385"/>
    </row>
    <row r="219" spans="1:18" ht="34.5" customHeight="1" thickTop="1" thickBot="1" x14ac:dyDescent="0.35">
      <c r="A219" s="13"/>
      <c r="B219" s="237" t="s">
        <v>473</v>
      </c>
      <c r="C219" s="237" t="s">
        <v>473</v>
      </c>
      <c r="D219" s="237" t="s">
        <v>473</v>
      </c>
      <c r="E219" s="364" t="s">
        <v>483</v>
      </c>
      <c r="F219" s="237" t="s">
        <v>473</v>
      </c>
      <c r="G219" s="237" t="s">
        <v>473</v>
      </c>
      <c r="H219" s="237" t="s">
        <v>473</v>
      </c>
      <c r="I219" s="237" t="s">
        <v>473</v>
      </c>
      <c r="J219" s="237">
        <f>J11+J21+J100+J62+J74+J89+J113+J181+J212+J208+J206+J202</f>
        <v>315465413.88999999</v>
      </c>
      <c r="K219" s="237" t="s">
        <v>473</v>
      </c>
      <c r="L219" s="465" t="b">
        <f>J219='d3'!K165</f>
        <v>1</v>
      </c>
    </row>
    <row r="220" spans="1:18" ht="16.5" thickTop="1" x14ac:dyDescent="0.2">
      <c r="B220" s="558" t="s">
        <v>863</v>
      </c>
      <c r="C220" s="559"/>
      <c r="D220" s="559"/>
      <c r="E220" s="559"/>
      <c r="F220" s="559"/>
      <c r="G220" s="559"/>
      <c r="H220" s="559"/>
      <c r="I220" s="559"/>
      <c r="J220" s="559"/>
      <c r="K220" s="559"/>
      <c r="L220" s="560"/>
      <c r="M220" s="560"/>
      <c r="N220" s="560"/>
      <c r="O220" s="560"/>
      <c r="P220" s="560"/>
      <c r="Q220" s="560"/>
      <c r="R220" s="560"/>
    </row>
    <row r="221" spans="1:18" ht="12" customHeight="1" x14ac:dyDescent="0.2">
      <c r="B221" s="551"/>
      <c r="C221" s="551"/>
      <c r="D221" s="551"/>
      <c r="E221" s="551"/>
      <c r="F221" s="551"/>
      <c r="G221" s="551"/>
      <c r="H221" s="551"/>
      <c r="I221" s="551"/>
      <c r="J221" s="551"/>
      <c r="K221" s="551"/>
    </row>
    <row r="222" spans="1:18" ht="12" customHeight="1" x14ac:dyDescent="0.2">
      <c r="B222" s="469"/>
      <c r="C222" s="469"/>
      <c r="D222" s="469"/>
      <c r="E222" s="469"/>
      <c r="F222" s="469"/>
      <c r="G222" s="469"/>
      <c r="H222" s="469"/>
      <c r="I222" s="469"/>
      <c r="J222" s="469"/>
      <c r="K222" s="469"/>
    </row>
    <row r="223" spans="1:18" ht="15" x14ac:dyDescent="0.25">
      <c r="D223" s="536" t="s">
        <v>925</v>
      </c>
      <c r="E223" s="536"/>
      <c r="F223" s="536"/>
      <c r="G223" s="536"/>
      <c r="H223" s="536"/>
      <c r="I223" s="536"/>
      <c r="J223" s="536"/>
      <c r="K223" s="536"/>
      <c r="L223" s="536"/>
      <c r="M223" s="536"/>
      <c r="N223" s="536"/>
      <c r="O223" s="536"/>
      <c r="P223" s="536"/>
      <c r="Q223" s="536"/>
      <c r="R223" s="536"/>
    </row>
    <row r="224" spans="1:18" ht="15" x14ac:dyDescent="0.25">
      <c r="D224" s="344"/>
      <c r="E224" s="344"/>
      <c r="F224" s="344"/>
      <c r="G224" s="344"/>
      <c r="H224" s="344"/>
      <c r="I224" s="344"/>
      <c r="J224" s="344"/>
      <c r="K224" s="344"/>
      <c r="L224" s="344"/>
      <c r="M224" s="344"/>
      <c r="N224" s="344"/>
      <c r="O224" s="344"/>
      <c r="P224" s="344"/>
      <c r="Q224" s="344"/>
      <c r="R224" s="344"/>
    </row>
    <row r="225" spans="4:18" ht="15" x14ac:dyDescent="0.25">
      <c r="D225" s="536"/>
      <c r="E225" s="536"/>
      <c r="F225" s="536"/>
      <c r="G225" s="536"/>
      <c r="H225" s="536"/>
      <c r="I225" s="536"/>
      <c r="J225" s="536"/>
      <c r="K225" s="536"/>
      <c r="L225" s="536"/>
      <c r="M225" s="536"/>
      <c r="N225" s="536"/>
      <c r="O225" s="536"/>
      <c r="P225" s="536"/>
      <c r="Q225" s="536"/>
      <c r="R225" s="150"/>
    </row>
    <row r="226" spans="4:18" ht="15" x14ac:dyDescent="0.25">
      <c r="D226" s="536"/>
      <c r="E226" s="536"/>
      <c r="F226" s="536"/>
      <c r="G226" s="536"/>
      <c r="H226" s="536"/>
      <c r="I226" s="536"/>
      <c r="J226" s="536"/>
      <c r="K226" s="536"/>
      <c r="L226" s="536"/>
      <c r="M226" s="536"/>
      <c r="N226" s="536"/>
      <c r="O226" s="536"/>
      <c r="P226" s="536"/>
      <c r="Q226" s="536"/>
      <c r="R226" s="150"/>
    </row>
    <row r="243" spans="7:11" ht="46.5" x14ac:dyDescent="0.2">
      <c r="K243" s="366"/>
    </row>
    <row r="246" spans="7:11" ht="46.5" x14ac:dyDescent="0.2">
      <c r="G246" s="366"/>
      <c r="K246" s="366"/>
    </row>
    <row r="265" spans="12:12" ht="90" x14ac:dyDescent="1.1499999999999999">
      <c r="L265" s="147"/>
    </row>
  </sheetData>
  <mergeCells count="10">
    <mergeCell ref="B221:K221"/>
    <mergeCell ref="D223:R223"/>
    <mergeCell ref="D225:Q225"/>
    <mergeCell ref="D226:Q226"/>
    <mergeCell ref="B1:K1"/>
    <mergeCell ref="G2:K2"/>
    <mergeCell ref="B4:K4"/>
    <mergeCell ref="B6:C6"/>
    <mergeCell ref="B7:C7"/>
    <mergeCell ref="B220:R220"/>
  </mergeCells>
  <printOptions horizontalCentered="1"/>
  <pageMargins left="0.82677165354330717" right="0" top="0.31496062992125984" bottom="0.31496062992125984" header="0.23622047244094491" footer="0.19685039370078741"/>
  <pageSetup paperSize="9" scale="63" fitToHeight="0" orientation="landscape" r:id="rId1"/>
  <headerFooter alignWithMargins="0">
    <oddFooter>&amp;R&amp;P</oddFooter>
  </headerFooter>
  <rowBreaks count="7" manualBreakCount="7">
    <brk id="17" max="10" man="1"/>
    <brk id="30" max="10" man="1"/>
    <brk id="40" max="10" man="1"/>
    <brk id="56" max="10" man="1"/>
    <brk id="168" max="10" man="1"/>
    <brk id="176" max="10" man="1"/>
    <brk id="198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J161"/>
  <sheetViews>
    <sheetView view="pageBreakPreview" topLeftCell="A31" zoomScale="85" zoomScaleNormal="85" zoomScaleSheetLayoutView="85" workbookViewId="0">
      <selection activeCell="C2" sqref="C2:F2"/>
    </sheetView>
  </sheetViews>
  <sheetFormatPr defaultColWidth="9.140625" defaultRowHeight="12.75" x14ac:dyDescent="0.2"/>
  <cols>
    <col min="1" max="1" width="23.5703125" style="84" customWidth="1"/>
    <col min="2" max="2" width="90.85546875" style="84" customWidth="1"/>
    <col min="3" max="3" width="18.28515625" style="84" customWidth="1"/>
    <col min="4" max="4" width="17" style="84" customWidth="1"/>
    <col min="5" max="5" width="14.7109375" style="84" customWidth="1"/>
    <col min="6" max="6" width="12.7109375" style="84" bestFit="1" customWidth="1"/>
    <col min="7" max="9" width="9.140625" style="84"/>
    <col min="10" max="10" width="52.5703125" style="84" customWidth="1"/>
    <col min="11" max="16384" width="9.140625" style="84"/>
  </cols>
  <sheetData>
    <row r="1" spans="1:9" ht="16.5" customHeight="1" x14ac:dyDescent="0.2">
      <c r="C1" s="490" t="s">
        <v>708</v>
      </c>
      <c r="D1" s="490"/>
      <c r="E1" s="238"/>
      <c r="F1" s="238"/>
    </row>
    <row r="2" spans="1:9" ht="16.5" customHeight="1" x14ac:dyDescent="0.2">
      <c r="C2" s="569" t="s">
        <v>937</v>
      </c>
      <c r="D2" s="570"/>
      <c r="E2" s="570"/>
      <c r="F2" s="570"/>
    </row>
    <row r="3" spans="1:9" ht="12.75" customHeight="1" x14ac:dyDescent="0.2">
      <c r="C3" s="490"/>
      <c r="D3" s="561"/>
    </row>
    <row r="4" spans="1:9" ht="12.75" customHeight="1" x14ac:dyDescent="0.2">
      <c r="C4" s="490"/>
      <c r="D4" s="492"/>
    </row>
    <row r="5" spans="1:9" ht="16.5" x14ac:dyDescent="0.25">
      <c r="A5" s="576" t="s">
        <v>162</v>
      </c>
      <c r="B5" s="576"/>
      <c r="C5" s="576"/>
      <c r="D5" s="492"/>
      <c r="E5" s="571"/>
      <c r="F5" s="572"/>
      <c r="G5" s="572"/>
      <c r="H5" s="572"/>
      <c r="I5" s="573"/>
    </row>
    <row r="6" spans="1:9" ht="16.5" x14ac:dyDescent="0.25">
      <c r="A6" s="588" t="s">
        <v>163</v>
      </c>
      <c r="B6" s="588"/>
      <c r="C6" s="588"/>
      <c r="D6" s="517"/>
      <c r="E6" s="571"/>
      <c r="F6" s="571"/>
      <c r="G6" s="571"/>
      <c r="H6" s="571"/>
      <c r="I6" s="491"/>
    </row>
    <row r="7" spans="1:9" ht="16.5" x14ac:dyDescent="0.2">
      <c r="A7" s="588" t="s">
        <v>582</v>
      </c>
      <c r="B7" s="588"/>
      <c r="C7" s="588"/>
      <c r="D7" s="517"/>
      <c r="E7" s="574"/>
      <c r="F7" s="574"/>
      <c r="G7" s="574"/>
      <c r="H7" s="574"/>
      <c r="I7" s="575"/>
    </row>
    <row r="8" spans="1:9" s="223" customFormat="1" ht="16.5" x14ac:dyDescent="0.2">
      <c r="A8" s="224"/>
      <c r="B8" s="224"/>
      <c r="C8" s="224"/>
      <c r="D8" s="217"/>
      <c r="E8" s="221"/>
      <c r="F8" s="221"/>
      <c r="G8" s="221"/>
      <c r="H8" s="221"/>
      <c r="I8" s="222"/>
    </row>
    <row r="9" spans="1:9" s="223" customFormat="1" ht="16.5" x14ac:dyDescent="0.2">
      <c r="A9" s="242">
        <v>22201100000</v>
      </c>
      <c r="B9" s="241"/>
      <c r="C9" s="224"/>
      <c r="D9" s="217"/>
      <c r="E9" s="221"/>
      <c r="F9" s="221"/>
      <c r="G9" s="221"/>
      <c r="H9" s="221"/>
      <c r="I9" s="222"/>
    </row>
    <row r="10" spans="1:9" s="223" customFormat="1" ht="16.5" x14ac:dyDescent="0.2">
      <c r="A10" s="243" t="s">
        <v>703</v>
      </c>
      <c r="B10" s="240"/>
      <c r="C10" s="224"/>
      <c r="D10" s="217"/>
      <c r="E10" s="221"/>
      <c r="F10" s="221"/>
      <c r="G10" s="221"/>
      <c r="H10" s="221"/>
      <c r="I10" s="222"/>
    </row>
    <row r="11" spans="1:9" ht="17.25" thickBot="1" x14ac:dyDescent="0.25">
      <c r="A11" s="195"/>
      <c r="B11" s="195"/>
      <c r="C11" s="196"/>
      <c r="D11" s="196" t="s">
        <v>496</v>
      </c>
      <c r="E11" s="85"/>
      <c r="F11" s="85"/>
      <c r="G11" s="86"/>
    </row>
    <row r="12" spans="1:9" s="87" customFormat="1" ht="26.45" customHeight="1" thickTop="1" thickBot="1" x14ac:dyDescent="0.25">
      <c r="A12" s="244" t="s">
        <v>164</v>
      </c>
      <c r="B12" s="566" t="s">
        <v>165</v>
      </c>
      <c r="C12" s="565"/>
      <c r="D12" s="565"/>
    </row>
    <row r="13" spans="1:9" s="87" customFormat="1" ht="39.75" customHeight="1" thickTop="1" thickBot="1" x14ac:dyDescent="0.25">
      <c r="A13" s="245" t="s">
        <v>166</v>
      </c>
      <c r="B13" s="562" t="s">
        <v>167</v>
      </c>
      <c r="C13" s="563"/>
      <c r="D13" s="246">
        <v>100</v>
      </c>
    </row>
    <row r="14" spans="1:9" s="87" customFormat="1" ht="40.700000000000003" customHeight="1" thickTop="1" thickBot="1" x14ac:dyDescent="0.25">
      <c r="A14" s="245" t="s">
        <v>168</v>
      </c>
      <c r="B14" s="562" t="s">
        <v>169</v>
      </c>
      <c r="C14" s="563"/>
      <c r="D14" s="246">
        <v>2786133.18</v>
      </c>
    </row>
    <row r="15" spans="1:9" s="87" customFormat="1" ht="61.5" customHeight="1" thickTop="1" thickBot="1" x14ac:dyDescent="0.25">
      <c r="A15" s="245" t="s">
        <v>170</v>
      </c>
      <c r="B15" s="562" t="s">
        <v>171</v>
      </c>
      <c r="C15" s="563"/>
      <c r="D15" s="246">
        <v>0</v>
      </c>
    </row>
    <row r="16" spans="1:9" s="87" customFormat="1" ht="41.25" customHeight="1" thickTop="1" thickBot="1" x14ac:dyDescent="0.25">
      <c r="A16" s="245" t="s">
        <v>172</v>
      </c>
      <c r="B16" s="562" t="s">
        <v>173</v>
      </c>
      <c r="C16" s="563"/>
      <c r="D16" s="246">
        <v>1400</v>
      </c>
    </row>
    <row r="17" spans="1:6" s="87" customFormat="1" ht="26.45" customHeight="1" thickTop="1" thickBot="1" x14ac:dyDescent="0.25">
      <c r="A17" s="245"/>
      <c r="B17" s="580" t="s">
        <v>174</v>
      </c>
      <c r="C17" s="563"/>
      <c r="D17" s="247">
        <f>SUM(D13:D16)</f>
        <v>2787633.18</v>
      </c>
    </row>
    <row r="18" spans="1:6" s="87" customFormat="1" ht="26.45" hidden="1" customHeight="1" thickTop="1" thickBot="1" x14ac:dyDescent="0.25">
      <c r="A18" s="245"/>
      <c r="B18" s="580" t="s">
        <v>583</v>
      </c>
      <c r="C18" s="563"/>
      <c r="D18" s="247"/>
    </row>
    <row r="19" spans="1:6" s="87" customFormat="1" ht="26.45" customHeight="1" thickTop="1" thickBot="1" x14ac:dyDescent="0.25">
      <c r="A19" s="402"/>
      <c r="B19" s="580" t="s">
        <v>872</v>
      </c>
      <c r="C19" s="563"/>
      <c r="D19" s="247">
        <v>149766.82</v>
      </c>
    </row>
    <row r="20" spans="1:6" s="87" customFormat="1" ht="26.45" customHeight="1" thickTop="1" thickBot="1" x14ac:dyDescent="0.25">
      <c r="A20" s="256" t="s">
        <v>473</v>
      </c>
      <c r="B20" s="567" t="s">
        <v>710</v>
      </c>
      <c r="C20" s="568"/>
      <c r="D20" s="255">
        <f>D17+D19</f>
        <v>2937400</v>
      </c>
    </row>
    <row r="21" spans="1:6" s="87" customFormat="1" ht="30.75" customHeight="1" thickTop="1" thickBot="1" x14ac:dyDescent="0.25">
      <c r="A21" s="248"/>
      <c r="B21" s="564" t="s">
        <v>175</v>
      </c>
      <c r="C21" s="565"/>
      <c r="D21" s="565"/>
    </row>
    <row r="22" spans="1:6" s="87" customFormat="1" ht="43.5" customHeight="1" thickTop="1" thickBot="1" x14ac:dyDescent="0.25">
      <c r="A22" s="245" t="s">
        <v>176</v>
      </c>
      <c r="B22" s="562" t="s">
        <v>177</v>
      </c>
      <c r="C22" s="563"/>
      <c r="D22" s="246">
        <v>50000</v>
      </c>
    </row>
    <row r="23" spans="1:6" s="87" customFormat="1" ht="44.45" customHeight="1" thickTop="1" thickBot="1" x14ac:dyDescent="0.25">
      <c r="A23" s="245" t="s">
        <v>178</v>
      </c>
      <c r="B23" s="562" t="s">
        <v>179</v>
      </c>
      <c r="C23" s="563"/>
      <c r="D23" s="246">
        <v>135000</v>
      </c>
    </row>
    <row r="24" spans="1:6" s="87" customFormat="1" ht="44.45" customHeight="1" thickTop="1" thickBot="1" x14ac:dyDescent="0.25">
      <c r="A24" s="245" t="s">
        <v>668</v>
      </c>
      <c r="B24" s="562" t="s">
        <v>510</v>
      </c>
      <c r="C24" s="563"/>
      <c r="D24" s="246">
        <f>(175000)+30000</f>
        <v>205000</v>
      </c>
    </row>
    <row r="25" spans="1:6" s="87" customFormat="1" ht="32.25" customHeight="1" thickTop="1" thickBot="1" x14ac:dyDescent="0.25">
      <c r="A25" s="245" t="s">
        <v>180</v>
      </c>
      <c r="B25" s="562" t="s">
        <v>182</v>
      </c>
      <c r="C25" s="563"/>
      <c r="D25" s="246">
        <f>(268326)-30000</f>
        <v>238326</v>
      </c>
    </row>
    <row r="26" spans="1:6" s="87" customFormat="1" ht="55.5" customHeight="1" thickTop="1" thickBot="1" x14ac:dyDescent="0.25">
      <c r="A26" s="245" t="s">
        <v>181</v>
      </c>
      <c r="B26" s="562" t="s">
        <v>587</v>
      </c>
      <c r="C26" s="563"/>
      <c r="D26" s="246">
        <f>(50000+2224874)+83400-970000</f>
        <v>1388274</v>
      </c>
    </row>
    <row r="27" spans="1:6" s="87" customFormat="1" ht="79.5" customHeight="1" thickTop="1" thickBot="1" x14ac:dyDescent="0.25">
      <c r="A27" s="407" t="s">
        <v>183</v>
      </c>
      <c r="B27" s="562" t="s">
        <v>184</v>
      </c>
      <c r="C27" s="563"/>
      <c r="D27" s="246">
        <f>(500000)-377500</f>
        <v>122500</v>
      </c>
    </row>
    <row r="28" spans="1:6" s="87" customFormat="1" ht="48" customHeight="1" thickTop="1" thickBot="1" x14ac:dyDescent="0.25">
      <c r="A28" s="245" t="s">
        <v>669</v>
      </c>
      <c r="B28" s="562" t="s">
        <v>185</v>
      </c>
      <c r="C28" s="563"/>
      <c r="D28" s="246">
        <v>20000</v>
      </c>
    </row>
    <row r="29" spans="1:6" s="87" customFormat="1" ht="54" customHeight="1" thickTop="1" thickBot="1" x14ac:dyDescent="0.3">
      <c r="A29" s="585" t="s">
        <v>670</v>
      </c>
      <c r="B29" s="583" t="s">
        <v>666</v>
      </c>
      <c r="C29" s="584"/>
      <c r="D29" s="587">
        <v>778300</v>
      </c>
    </row>
    <row r="30" spans="1:6" s="87" customFormat="1" ht="54" customHeight="1" thickTop="1" thickBot="1" x14ac:dyDescent="0.25">
      <c r="A30" s="586"/>
      <c r="B30" s="581" t="s">
        <v>665</v>
      </c>
      <c r="C30" s="582"/>
      <c r="D30" s="514"/>
    </row>
    <row r="31" spans="1:6" s="87" customFormat="1" ht="27.75" customHeight="1" thickTop="1" thickBot="1" x14ac:dyDescent="0.25">
      <c r="A31" s="256" t="s">
        <v>473</v>
      </c>
      <c r="B31" s="567" t="s">
        <v>710</v>
      </c>
      <c r="C31" s="568"/>
      <c r="D31" s="255">
        <f>D22+D23+D24+D25+D26+D28+D29+D27</f>
        <v>2937400</v>
      </c>
      <c r="E31" s="194" t="b">
        <f>D20=D31</f>
        <v>1</v>
      </c>
      <c r="F31" s="194" t="b">
        <f>D31='d3'!Q22+'d3'!Q76+'d3'!Q118</f>
        <v>1</v>
      </c>
    </row>
    <row r="32" spans="1:6" s="486" customFormat="1" ht="27.75" customHeight="1" thickTop="1" x14ac:dyDescent="0.2">
      <c r="A32" s="481"/>
      <c r="B32" s="482"/>
      <c r="C32" s="483"/>
      <c r="D32" s="484"/>
      <c r="E32" s="485"/>
      <c r="F32" s="485"/>
    </row>
    <row r="35" spans="1:4" ht="18.75" x14ac:dyDescent="0.2">
      <c r="A35" s="131" t="s">
        <v>926</v>
      </c>
      <c r="B35" s="131"/>
      <c r="C35" s="131"/>
    </row>
    <row r="36" spans="1:4" ht="18.75" x14ac:dyDescent="0.2">
      <c r="A36" s="131"/>
      <c r="B36" s="131"/>
      <c r="C36" s="131"/>
    </row>
    <row r="37" spans="1:4" ht="18.75" x14ac:dyDescent="0.2">
      <c r="A37" s="579"/>
      <c r="B37" s="579"/>
      <c r="C37" s="130"/>
    </row>
    <row r="43" spans="1:4" ht="16.5" x14ac:dyDescent="0.2">
      <c r="A43" s="578"/>
      <c r="B43" s="88"/>
      <c r="C43" s="89"/>
      <c r="D43" s="90"/>
    </row>
    <row r="44" spans="1:4" ht="16.5" x14ac:dyDescent="0.2">
      <c r="A44" s="578"/>
      <c r="B44" s="91"/>
      <c r="C44" s="89"/>
      <c r="D44" s="90"/>
    </row>
    <row r="45" spans="1:4" ht="16.5" x14ac:dyDescent="0.2">
      <c r="A45" s="578"/>
      <c r="B45" s="92"/>
      <c r="C45" s="89"/>
      <c r="D45" s="90"/>
    </row>
    <row r="46" spans="1:4" ht="16.5" x14ac:dyDescent="0.2">
      <c r="A46" s="578"/>
      <c r="B46" s="88"/>
      <c r="C46" s="89"/>
      <c r="D46" s="90"/>
    </row>
    <row r="47" spans="1:4" ht="16.5" x14ac:dyDescent="0.2">
      <c r="A47" s="578"/>
      <c r="B47" s="88"/>
      <c r="C47" s="89"/>
      <c r="D47" s="90"/>
    </row>
    <row r="78" spans="6:6" x14ac:dyDescent="0.2">
      <c r="F78" s="577"/>
    </row>
    <row r="79" spans="6:6" x14ac:dyDescent="0.2">
      <c r="F79" s="491"/>
    </row>
    <row r="115" spans="6:6" x14ac:dyDescent="0.2">
      <c r="F115" s="84">
        <f>G115+H115</f>
        <v>0</v>
      </c>
    </row>
    <row r="117" spans="6:6" x14ac:dyDescent="0.2">
      <c r="F117" s="84">
        <f t="shared" ref="F117:F127" si="0">G117+H117</f>
        <v>0</v>
      </c>
    </row>
    <row r="118" spans="6:6" x14ac:dyDescent="0.2">
      <c r="F118" s="84">
        <f t="shared" si="0"/>
        <v>0</v>
      </c>
    </row>
    <row r="119" spans="6:6" x14ac:dyDescent="0.2">
      <c r="F119" s="84">
        <f t="shared" si="0"/>
        <v>0</v>
      </c>
    </row>
    <row r="120" spans="6:6" x14ac:dyDescent="0.2">
      <c r="F120" s="84">
        <f t="shared" si="0"/>
        <v>0</v>
      </c>
    </row>
    <row r="121" spans="6:6" x14ac:dyDescent="0.2">
      <c r="F121" s="84">
        <f t="shared" si="0"/>
        <v>0</v>
      </c>
    </row>
    <row r="122" spans="6:6" x14ac:dyDescent="0.2">
      <c r="F122" s="84">
        <f t="shared" si="0"/>
        <v>0</v>
      </c>
    </row>
    <row r="123" spans="6:6" x14ac:dyDescent="0.2">
      <c r="F123" s="84">
        <f t="shared" si="0"/>
        <v>0</v>
      </c>
    </row>
    <row r="124" spans="6:6" x14ac:dyDescent="0.2">
      <c r="F124" s="84">
        <f t="shared" si="0"/>
        <v>0</v>
      </c>
    </row>
    <row r="125" spans="6:6" x14ac:dyDescent="0.2">
      <c r="F125" s="84">
        <f t="shared" si="0"/>
        <v>0</v>
      </c>
    </row>
    <row r="126" spans="6:6" x14ac:dyDescent="0.2">
      <c r="F126" s="84">
        <f t="shared" si="0"/>
        <v>0</v>
      </c>
    </row>
    <row r="127" spans="6:6" x14ac:dyDescent="0.2">
      <c r="F127" s="84">
        <f t="shared" si="0"/>
        <v>0</v>
      </c>
    </row>
    <row r="129" spans="6:9" x14ac:dyDescent="0.2">
      <c r="F129" s="84">
        <f>G130+H130</f>
        <v>0</v>
      </c>
    </row>
    <row r="130" spans="6:9" x14ac:dyDescent="0.2">
      <c r="F130" s="84">
        <f t="shared" ref="F130" si="1">G130+H130</f>
        <v>0</v>
      </c>
    </row>
    <row r="131" spans="6:9" x14ac:dyDescent="0.2">
      <c r="F131" s="84">
        <f>G131+H131</f>
        <v>0</v>
      </c>
    </row>
    <row r="132" spans="6:9" x14ac:dyDescent="0.2">
      <c r="F132" s="84">
        <f>G132+H132</f>
        <v>0</v>
      </c>
    </row>
    <row r="133" spans="6:9" x14ac:dyDescent="0.2">
      <c r="F133" s="84">
        <f>G133+H133</f>
        <v>0</v>
      </c>
    </row>
    <row r="134" spans="6:9" x14ac:dyDescent="0.2">
      <c r="F134" s="84">
        <f>G134+H134</f>
        <v>0</v>
      </c>
    </row>
    <row r="139" spans="6:9" ht="46.5" x14ac:dyDescent="0.2">
      <c r="I139" s="148"/>
    </row>
    <row r="142" spans="6:9" ht="46.5" x14ac:dyDescent="0.2">
      <c r="F142" s="148">
        <f>G142+H142</f>
        <v>0</v>
      </c>
      <c r="I142" s="148"/>
    </row>
    <row r="161" spans="10:10" ht="90" x14ac:dyDescent="0.2">
      <c r="J161" s="146" t="b">
        <f>F161=G161+H161</f>
        <v>1</v>
      </c>
    </row>
  </sheetData>
  <mergeCells count="35">
    <mergeCell ref="A6:D6"/>
    <mergeCell ref="A7:D7"/>
    <mergeCell ref="B15:C15"/>
    <mergeCell ref="B14:C14"/>
    <mergeCell ref="B13:C13"/>
    <mergeCell ref="F78:F79"/>
    <mergeCell ref="A43:A47"/>
    <mergeCell ref="A37:B37"/>
    <mergeCell ref="B18:C18"/>
    <mergeCell ref="B17:C17"/>
    <mergeCell ref="B30:C30"/>
    <mergeCell ref="B31:C31"/>
    <mergeCell ref="B29:C29"/>
    <mergeCell ref="B28:C28"/>
    <mergeCell ref="B27:C27"/>
    <mergeCell ref="B26:C26"/>
    <mergeCell ref="A29:A30"/>
    <mergeCell ref="D29:D30"/>
    <mergeCell ref="B19:C19"/>
    <mergeCell ref="C1:D1"/>
    <mergeCell ref="C3:D3"/>
    <mergeCell ref="C4:D4"/>
    <mergeCell ref="B25:C25"/>
    <mergeCell ref="B24:C24"/>
    <mergeCell ref="B23:C23"/>
    <mergeCell ref="B22:C22"/>
    <mergeCell ref="B21:D21"/>
    <mergeCell ref="B12:D12"/>
    <mergeCell ref="B20:C20"/>
    <mergeCell ref="C2:F2"/>
    <mergeCell ref="E5:I5"/>
    <mergeCell ref="E6:I6"/>
    <mergeCell ref="E7:I7"/>
    <mergeCell ref="B16:C16"/>
    <mergeCell ref="A5:D5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view="pageBreakPreview" topLeftCell="A17" zoomScale="85" zoomScaleNormal="85" zoomScaleSheetLayoutView="85" workbookViewId="0">
      <selection activeCell="F2" sqref="F2"/>
    </sheetView>
  </sheetViews>
  <sheetFormatPr defaultRowHeight="12.75" x14ac:dyDescent="0.2"/>
  <cols>
    <col min="1" max="1" width="6.85546875" style="427" customWidth="1"/>
    <col min="2" max="2" width="15.140625" style="427" customWidth="1"/>
    <col min="3" max="3" width="15.28515625" style="427" customWidth="1"/>
    <col min="4" max="4" width="10.85546875" style="427" customWidth="1"/>
    <col min="5" max="5" width="58.140625" style="427" customWidth="1"/>
    <col min="6" max="6" width="15.85546875" style="427" customWidth="1"/>
    <col min="7" max="10" width="9.140625" style="427"/>
    <col min="11" max="11" width="52.5703125" style="427" customWidth="1"/>
    <col min="12" max="16384" width="9.140625" style="427"/>
  </cols>
  <sheetData>
    <row r="1" spans="1:9" x14ac:dyDescent="0.2">
      <c r="A1" s="100"/>
      <c r="B1" s="100"/>
      <c r="C1" s="100"/>
      <c r="D1" s="100"/>
      <c r="E1" s="100"/>
      <c r="F1" s="100" t="s">
        <v>709</v>
      </c>
    </row>
    <row r="2" spans="1:9" x14ac:dyDescent="0.2">
      <c r="A2" s="100"/>
      <c r="B2" s="100"/>
      <c r="C2" s="100"/>
      <c r="D2" s="100"/>
      <c r="E2" s="100"/>
      <c r="F2" s="100" t="s">
        <v>939</v>
      </c>
    </row>
    <row r="3" spans="1:9" x14ac:dyDescent="0.2">
      <c r="A3" s="100"/>
      <c r="B3" s="100"/>
      <c r="C3" s="100"/>
      <c r="D3" s="100"/>
      <c r="E3" s="100"/>
      <c r="F3" s="593" t="s">
        <v>938</v>
      </c>
      <c r="G3" s="559"/>
      <c r="H3" s="559"/>
      <c r="I3" s="559"/>
    </row>
    <row r="4" spans="1:9" ht="15.75" x14ac:dyDescent="0.25">
      <c r="A4" s="594" t="s">
        <v>380</v>
      </c>
      <c r="B4" s="573"/>
      <c r="C4" s="573"/>
      <c r="D4" s="573"/>
      <c r="E4" s="573"/>
      <c r="F4" s="573"/>
    </row>
    <row r="5" spans="1:9" ht="15.75" x14ac:dyDescent="0.25">
      <c r="A5" s="594" t="s">
        <v>381</v>
      </c>
      <c r="B5" s="573"/>
      <c r="C5" s="573"/>
      <c r="D5" s="573"/>
      <c r="E5" s="573"/>
      <c r="F5" s="573"/>
    </row>
    <row r="6" spans="1:9" ht="15.75" x14ac:dyDescent="0.25">
      <c r="A6" s="594" t="s">
        <v>657</v>
      </c>
      <c r="B6" s="573"/>
      <c r="C6" s="573"/>
      <c r="D6" s="573"/>
      <c r="E6" s="573"/>
      <c r="F6" s="573"/>
    </row>
    <row r="7" spans="1:9" ht="15.75" x14ac:dyDescent="0.25">
      <c r="A7" s="434"/>
      <c r="B7" s="433"/>
      <c r="C7" s="433"/>
      <c r="D7" s="433"/>
      <c r="E7" s="433"/>
      <c r="F7" s="433"/>
    </row>
    <row r="8" spans="1:9" x14ac:dyDescent="0.2">
      <c r="A8" s="554">
        <v>22201100000</v>
      </c>
      <c r="B8" s="573"/>
      <c r="C8" s="433"/>
      <c r="D8" s="433"/>
      <c r="E8" s="433"/>
      <c r="F8" s="433"/>
    </row>
    <row r="9" spans="1:9" x14ac:dyDescent="0.2">
      <c r="A9" s="556" t="s">
        <v>703</v>
      </c>
      <c r="B9" s="557"/>
      <c r="C9" s="433"/>
      <c r="D9" s="433"/>
      <c r="E9" s="433"/>
      <c r="F9" s="433"/>
    </row>
    <row r="10" spans="1:9" ht="13.5" thickBot="1" x14ac:dyDescent="0.25">
      <c r="A10" s="432"/>
      <c r="B10" s="432"/>
      <c r="C10" s="433"/>
      <c r="D10" s="433"/>
      <c r="E10" s="433"/>
      <c r="F10" s="433"/>
    </row>
    <row r="11" spans="1:9" ht="48" customHeight="1" thickTop="1" thickBot="1" x14ac:dyDescent="0.25">
      <c r="A11" s="269" t="s">
        <v>382</v>
      </c>
      <c r="B11" s="270" t="s">
        <v>383</v>
      </c>
      <c r="C11" s="270" t="s">
        <v>24</v>
      </c>
      <c r="D11" s="270" t="s">
        <v>18</v>
      </c>
      <c r="E11" s="269" t="s">
        <v>384</v>
      </c>
      <c r="F11" s="271" t="s">
        <v>497</v>
      </c>
    </row>
    <row r="12" spans="1:9" ht="96" thickTop="1" thickBot="1" x14ac:dyDescent="0.25">
      <c r="A12" s="250">
        <v>1</v>
      </c>
      <c r="B12" s="251" t="s">
        <v>368</v>
      </c>
      <c r="C12" s="251" t="s">
        <v>369</v>
      </c>
      <c r="D12" s="251" t="s">
        <v>64</v>
      </c>
      <c r="E12" s="251" t="s">
        <v>904</v>
      </c>
      <c r="F12" s="252">
        <v>400000</v>
      </c>
    </row>
    <row r="13" spans="1:9" ht="17.25" hidden="1" thickTop="1" thickBot="1" x14ac:dyDescent="0.25">
      <c r="A13" s="250">
        <v>2</v>
      </c>
      <c r="B13" s="251" t="s">
        <v>368</v>
      </c>
      <c r="C13" s="251" t="s">
        <v>369</v>
      </c>
      <c r="D13" s="251" t="s">
        <v>64</v>
      </c>
      <c r="E13" s="253"/>
      <c r="F13" s="254"/>
    </row>
    <row r="14" spans="1:9" ht="17.25" thickTop="1" thickBot="1" x14ac:dyDescent="0.25">
      <c r="A14" s="250">
        <v>2</v>
      </c>
      <c r="B14" s="251" t="s">
        <v>368</v>
      </c>
      <c r="C14" s="251" t="s">
        <v>369</v>
      </c>
      <c r="D14" s="251" t="s">
        <v>64</v>
      </c>
      <c r="E14" s="318" t="s">
        <v>764</v>
      </c>
      <c r="F14" s="254">
        <v>140000</v>
      </c>
    </row>
    <row r="15" spans="1:9" ht="48.75" thickTop="1" thickBot="1" x14ac:dyDescent="0.25">
      <c r="A15" s="250">
        <v>3</v>
      </c>
      <c r="B15" s="251" t="s">
        <v>368</v>
      </c>
      <c r="C15" s="251" t="s">
        <v>369</v>
      </c>
      <c r="D15" s="251" t="s">
        <v>64</v>
      </c>
      <c r="E15" s="318" t="s">
        <v>765</v>
      </c>
      <c r="F15" s="254">
        <v>48106</v>
      </c>
    </row>
    <row r="16" spans="1:9" ht="17.25" thickTop="1" thickBot="1" x14ac:dyDescent="0.25">
      <c r="A16" s="250">
        <v>4</v>
      </c>
      <c r="B16" s="251" t="s">
        <v>368</v>
      </c>
      <c r="C16" s="251" t="s">
        <v>369</v>
      </c>
      <c r="D16" s="251" t="s">
        <v>64</v>
      </c>
      <c r="E16" s="319" t="s">
        <v>766</v>
      </c>
      <c r="F16" s="254">
        <v>150000</v>
      </c>
    </row>
    <row r="17" spans="1:7" ht="48.75" thickTop="1" thickBot="1" x14ac:dyDescent="0.25">
      <c r="A17" s="250">
        <v>5</v>
      </c>
      <c r="B17" s="317">
        <v>2818312</v>
      </c>
      <c r="C17" s="317">
        <v>8312</v>
      </c>
      <c r="D17" s="251" t="s">
        <v>647</v>
      </c>
      <c r="E17" s="251" t="s">
        <v>623</v>
      </c>
      <c r="F17" s="252">
        <v>70000</v>
      </c>
    </row>
    <row r="18" spans="1:7" ht="48.75" thickTop="1" thickBot="1" x14ac:dyDescent="0.25">
      <c r="A18" s="250">
        <v>6</v>
      </c>
      <c r="B18" s="251" t="s">
        <v>762</v>
      </c>
      <c r="C18" s="251" t="s">
        <v>760</v>
      </c>
      <c r="D18" s="251" t="s">
        <v>763</v>
      </c>
      <c r="E18" s="319" t="s">
        <v>767</v>
      </c>
      <c r="F18" s="252">
        <v>48670</v>
      </c>
    </row>
    <row r="19" spans="1:7" ht="33" thickTop="1" thickBot="1" x14ac:dyDescent="0.25">
      <c r="A19" s="250">
        <v>7</v>
      </c>
      <c r="B19" s="251" t="s">
        <v>762</v>
      </c>
      <c r="C19" s="251" t="s">
        <v>760</v>
      </c>
      <c r="D19" s="251" t="s">
        <v>763</v>
      </c>
      <c r="E19" s="251" t="s">
        <v>768</v>
      </c>
      <c r="F19" s="252">
        <v>15000</v>
      </c>
    </row>
    <row r="20" spans="1:7" ht="80.45" customHeight="1" thickTop="1" thickBot="1" x14ac:dyDescent="0.25">
      <c r="A20" s="250">
        <v>8</v>
      </c>
      <c r="B20" s="251" t="s">
        <v>370</v>
      </c>
      <c r="C20" s="251" t="s">
        <v>371</v>
      </c>
      <c r="D20" s="251" t="s">
        <v>66</v>
      </c>
      <c r="E20" s="251" t="s">
        <v>499</v>
      </c>
      <c r="F20" s="252">
        <f>30000+34187.28</f>
        <v>64187.28</v>
      </c>
    </row>
    <row r="21" spans="1:7" ht="80.45" customHeight="1" thickTop="1" thickBot="1" x14ac:dyDescent="0.25">
      <c r="A21" s="250">
        <v>9</v>
      </c>
      <c r="B21" s="251" t="s">
        <v>370</v>
      </c>
      <c r="C21" s="251" t="s">
        <v>371</v>
      </c>
      <c r="D21" s="251" t="s">
        <v>66</v>
      </c>
      <c r="E21" s="318" t="s">
        <v>905</v>
      </c>
      <c r="F21" s="254">
        <v>30000</v>
      </c>
    </row>
    <row r="22" spans="1:7" ht="17.25" thickTop="1" thickBot="1" x14ac:dyDescent="0.25">
      <c r="A22" s="257" t="s">
        <v>473</v>
      </c>
      <c r="B22" s="257" t="s">
        <v>473</v>
      </c>
      <c r="C22" s="257" t="s">
        <v>473</v>
      </c>
      <c r="D22" s="257" t="s">
        <v>473</v>
      </c>
      <c r="E22" s="258" t="s">
        <v>483</v>
      </c>
      <c r="F22" s="259">
        <f>SUM(F12:F21)</f>
        <v>965963.28</v>
      </c>
      <c r="G22" s="249" t="b">
        <f>F22='d3'!J147-'d3'!J149</f>
        <v>1</v>
      </c>
    </row>
    <row r="23" spans="1:7" ht="16.5" thickTop="1" x14ac:dyDescent="0.2">
      <c r="A23" s="103"/>
      <c r="B23" s="103"/>
      <c r="C23" s="103"/>
      <c r="D23" s="103"/>
      <c r="E23" s="103"/>
      <c r="F23" s="104"/>
    </row>
    <row r="24" spans="1:7" s="468" customFormat="1" ht="15.75" x14ac:dyDescent="0.2">
      <c r="A24" s="103"/>
      <c r="B24" s="103"/>
      <c r="C24" s="103"/>
      <c r="D24" s="103"/>
      <c r="E24" s="103"/>
      <c r="F24" s="104"/>
    </row>
    <row r="25" spans="1:7" ht="15.75" x14ac:dyDescent="0.2">
      <c r="A25" s="589" t="s">
        <v>927</v>
      </c>
      <c r="B25" s="590"/>
      <c r="C25" s="590"/>
      <c r="D25" s="590"/>
      <c r="E25" s="127"/>
      <c r="F25" s="129" t="s">
        <v>928</v>
      </c>
    </row>
    <row r="26" spans="1:7" ht="15.75" x14ac:dyDescent="0.2">
      <c r="A26" s="435"/>
      <c r="B26" s="435"/>
      <c r="C26" s="435"/>
      <c r="D26" s="435"/>
      <c r="E26" s="127"/>
      <c r="F26" s="128"/>
    </row>
    <row r="27" spans="1:7" ht="15.75" x14ac:dyDescent="0.25">
      <c r="A27" s="592"/>
      <c r="B27" s="592"/>
      <c r="C27" s="592"/>
      <c r="D27" s="592"/>
      <c r="E27" s="101"/>
      <c r="F27" s="101"/>
    </row>
    <row r="28" spans="1:7" ht="15.75" x14ac:dyDescent="0.2">
      <c r="A28" s="591"/>
      <c r="B28" s="591"/>
      <c r="C28" s="591"/>
      <c r="D28" s="591"/>
      <c r="E28" s="591"/>
      <c r="F28" s="102"/>
    </row>
    <row r="85" spans="7:7" x14ac:dyDescent="0.2">
      <c r="G85" s="491"/>
    </row>
    <row r="86" spans="7:7" x14ac:dyDescent="0.2">
      <c r="G86" s="491"/>
    </row>
    <row r="146" spans="7:10" ht="46.5" x14ac:dyDescent="0.65">
      <c r="J146" s="117"/>
    </row>
    <row r="149" spans="7:10" ht="46.5" x14ac:dyDescent="0.65">
      <c r="G149" s="117"/>
      <c r="J149" s="117"/>
    </row>
    <row r="168" spans="11:11" ht="90" x14ac:dyDescent="1.1499999999999999">
      <c r="K168" s="145" t="b">
        <f>G168=H168+I168</f>
        <v>1</v>
      </c>
    </row>
  </sheetData>
  <mergeCells count="10">
    <mergeCell ref="A25:D25"/>
    <mergeCell ref="A28:E28"/>
    <mergeCell ref="G85:G86"/>
    <mergeCell ref="A27:D27"/>
    <mergeCell ref="F3:I3"/>
    <mergeCell ref="A4:F4"/>
    <mergeCell ref="A5:F5"/>
    <mergeCell ref="A6:F6"/>
    <mergeCell ref="A8:B8"/>
    <mergeCell ref="A9:B9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8"/>
  <dimension ref="A1:Q228"/>
  <sheetViews>
    <sheetView tabSelected="1" view="pageBreakPreview" zoomScale="25" zoomScaleNormal="25" zoomScaleSheetLayoutView="25" zoomScalePageLayoutView="10" workbookViewId="0">
      <pane ySplit="13" topLeftCell="A209" activePane="bottomLeft" state="frozen"/>
      <selection activeCell="K153" sqref="K153"/>
      <selection pane="bottomLeft" activeCell="I2" sqref="I2:J2"/>
    </sheetView>
  </sheetViews>
  <sheetFormatPr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113.855468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62.28515625" customWidth="1"/>
    <col min="12" max="12" width="52.7109375" bestFit="1" customWidth="1"/>
    <col min="13" max="13" width="51" bestFit="1" customWidth="1"/>
    <col min="17" max="17" width="70.28515625" customWidth="1"/>
  </cols>
  <sheetData>
    <row r="1" spans="1:13" ht="45.75" x14ac:dyDescent="0.2">
      <c r="D1" s="6"/>
      <c r="E1" s="7"/>
      <c r="F1" s="8"/>
      <c r="G1" s="7"/>
      <c r="H1" s="7"/>
      <c r="I1" s="516" t="s">
        <v>498</v>
      </c>
      <c r="J1" s="516"/>
    </row>
    <row r="2" spans="1:13" ht="45.75" x14ac:dyDescent="0.2">
      <c r="A2" s="6"/>
      <c r="B2" s="6"/>
      <c r="C2" s="6"/>
      <c r="D2" s="6"/>
      <c r="E2" s="7"/>
      <c r="F2" s="8"/>
      <c r="G2" s="7"/>
      <c r="H2" s="7"/>
      <c r="I2" s="516" t="s">
        <v>940</v>
      </c>
      <c r="J2" s="518"/>
    </row>
    <row r="3" spans="1:13" ht="40.700000000000003" customHeight="1" x14ac:dyDescent="0.2">
      <c r="A3" s="6"/>
      <c r="B3" s="6"/>
      <c r="C3" s="6"/>
      <c r="D3" s="6"/>
      <c r="E3" s="7"/>
      <c r="F3" s="8"/>
      <c r="G3" s="7"/>
      <c r="H3" s="7"/>
      <c r="I3" s="516"/>
      <c r="J3" s="518"/>
    </row>
    <row r="4" spans="1:13" ht="45.75" hidden="1" x14ac:dyDescent="0.2">
      <c r="A4" s="6"/>
      <c r="B4" s="6"/>
      <c r="C4" s="6"/>
      <c r="D4" s="6"/>
      <c r="E4" s="7"/>
      <c r="F4" s="8"/>
      <c r="G4" s="7"/>
      <c r="H4" s="7"/>
      <c r="I4" s="6"/>
      <c r="J4" s="203"/>
    </row>
    <row r="5" spans="1:13" ht="45" x14ac:dyDescent="0.2">
      <c r="A5" s="519" t="s">
        <v>586</v>
      </c>
      <c r="B5" s="519"/>
      <c r="C5" s="519"/>
      <c r="D5" s="519"/>
      <c r="E5" s="519"/>
      <c r="F5" s="519"/>
      <c r="G5" s="519"/>
      <c r="H5" s="519"/>
      <c r="I5" s="519"/>
      <c r="J5" s="519"/>
    </row>
    <row r="6" spans="1:13" ht="45" x14ac:dyDescent="0.2">
      <c r="A6" s="519"/>
      <c r="B6" s="519"/>
      <c r="C6" s="519"/>
      <c r="D6" s="519"/>
      <c r="E6" s="519"/>
      <c r="F6" s="519"/>
      <c r="G6" s="519"/>
      <c r="H6" s="519"/>
      <c r="I6" s="519"/>
      <c r="J6" s="519"/>
    </row>
    <row r="7" spans="1:13" s="215" customFormat="1" ht="45" x14ac:dyDescent="0.2">
      <c r="A7" s="218"/>
      <c r="B7" s="218"/>
      <c r="C7" s="218"/>
      <c r="D7" s="218"/>
      <c r="E7" s="218"/>
      <c r="F7" s="218"/>
      <c r="G7" s="218"/>
      <c r="H7" s="218"/>
      <c r="I7" s="218"/>
      <c r="J7" s="218"/>
    </row>
    <row r="8" spans="1:13" s="215" customFormat="1" ht="45.75" x14ac:dyDescent="0.65">
      <c r="A8" s="520">
        <v>22201100000</v>
      </c>
      <c r="B8" s="521"/>
      <c r="C8" s="218"/>
      <c r="D8" s="218"/>
      <c r="E8" s="218"/>
      <c r="F8" s="218"/>
      <c r="G8" s="218"/>
      <c r="H8" s="218"/>
      <c r="I8" s="218"/>
      <c r="J8" s="218"/>
    </row>
    <row r="9" spans="1:13" s="215" customFormat="1" ht="45.75" x14ac:dyDescent="0.2">
      <c r="A9" s="522" t="s">
        <v>703</v>
      </c>
      <c r="B9" s="523"/>
      <c r="C9" s="218"/>
      <c r="D9" s="218"/>
      <c r="E9" s="218"/>
      <c r="F9" s="218"/>
      <c r="G9" s="218"/>
      <c r="H9" s="218"/>
      <c r="I9" s="218"/>
      <c r="J9" s="218"/>
    </row>
    <row r="10" spans="1:13" ht="53.45" customHeight="1" thickBot="1" x14ac:dyDescent="0.25">
      <c r="A10" s="7"/>
      <c r="B10" s="7"/>
      <c r="C10" s="7"/>
      <c r="D10" s="7"/>
      <c r="E10" s="7"/>
      <c r="F10" s="8"/>
      <c r="G10" s="7"/>
      <c r="H10" s="7"/>
      <c r="I10" s="7"/>
      <c r="J10" s="9" t="s">
        <v>496</v>
      </c>
    </row>
    <row r="11" spans="1:13" ht="104.25" customHeight="1" thickTop="1" thickBot="1" x14ac:dyDescent="0.25">
      <c r="A11" s="510" t="s">
        <v>704</v>
      </c>
      <c r="B11" s="510" t="s">
        <v>705</v>
      </c>
      <c r="C11" s="510" t="s">
        <v>482</v>
      </c>
      <c r="D11" s="510" t="s">
        <v>706</v>
      </c>
      <c r="E11" s="510" t="s">
        <v>711</v>
      </c>
      <c r="F11" s="510" t="s">
        <v>712</v>
      </c>
      <c r="G11" s="510" t="s">
        <v>475</v>
      </c>
      <c r="H11" s="510" t="s">
        <v>14</v>
      </c>
      <c r="I11" s="511" t="s">
        <v>67</v>
      </c>
      <c r="J11" s="515"/>
    </row>
    <row r="12" spans="1:13" ht="325.5" customHeight="1" thickTop="1" thickBot="1" x14ac:dyDescent="0.25">
      <c r="A12" s="511"/>
      <c r="B12" s="512"/>
      <c r="C12" s="512"/>
      <c r="D12" s="511"/>
      <c r="E12" s="511"/>
      <c r="F12" s="511"/>
      <c r="G12" s="511"/>
      <c r="H12" s="511"/>
      <c r="I12" s="226" t="s">
        <v>476</v>
      </c>
      <c r="J12" s="226" t="s">
        <v>477</v>
      </c>
    </row>
    <row r="13" spans="1:13" s="2" customFormat="1" ht="111" customHeight="1" thickTop="1" thickBot="1" x14ac:dyDescent="0.25">
      <c r="A13" s="227" t="s">
        <v>3</v>
      </c>
      <c r="B13" s="227" t="s">
        <v>4</v>
      </c>
      <c r="C13" s="227" t="s">
        <v>16</v>
      </c>
      <c r="D13" s="227" t="s">
        <v>6</v>
      </c>
      <c r="E13" s="227" t="s">
        <v>484</v>
      </c>
      <c r="F13" s="227" t="s">
        <v>485</v>
      </c>
      <c r="G13" s="227" t="s">
        <v>486</v>
      </c>
      <c r="H13" s="227" t="s">
        <v>487</v>
      </c>
      <c r="I13" s="227" t="s">
        <v>488</v>
      </c>
      <c r="J13" s="227" t="s">
        <v>489</v>
      </c>
    </row>
    <row r="14" spans="1:13" s="2" customFormat="1" ht="136.5" thickTop="1" thickBot="1" x14ac:dyDescent="0.25">
      <c r="A14" s="413" t="s">
        <v>190</v>
      </c>
      <c r="B14" s="413"/>
      <c r="C14" s="413"/>
      <c r="D14" s="414" t="s">
        <v>192</v>
      </c>
      <c r="E14" s="415"/>
      <c r="F14" s="416"/>
      <c r="G14" s="416">
        <f>G15</f>
        <v>20095446</v>
      </c>
      <c r="H14" s="416">
        <f t="shared" ref="H14:J14" si="0">H15</f>
        <v>12570300</v>
      </c>
      <c r="I14" s="415">
        <f>I15</f>
        <v>7525146</v>
      </c>
      <c r="J14" s="415">
        <f t="shared" si="0"/>
        <v>5048646</v>
      </c>
      <c r="K14" s="154" t="b">
        <f>H14='d3'!E17-'d3'!E18-'d3'!E21+H16</f>
        <v>1</v>
      </c>
      <c r="L14" s="154" t="b">
        <f>I14='d3'!J17-'d3'!J18-'d3'!J21+I16</f>
        <v>1</v>
      </c>
      <c r="M14" s="154" t="b">
        <f>J14='d3'!K17-'d3'!K18-'d3'!K21+J16</f>
        <v>1</v>
      </c>
    </row>
    <row r="15" spans="1:13" s="2" customFormat="1" ht="136.5" thickTop="1" thickBot="1" x14ac:dyDescent="0.25">
      <c r="A15" s="417" t="s">
        <v>191</v>
      </c>
      <c r="B15" s="417"/>
      <c r="C15" s="417"/>
      <c r="D15" s="418" t="s">
        <v>193</v>
      </c>
      <c r="E15" s="419"/>
      <c r="F15" s="420"/>
      <c r="G15" s="420">
        <f>SUM(G16:G32)</f>
        <v>20095446</v>
      </c>
      <c r="H15" s="420">
        <f>SUM(H16:H32)</f>
        <v>12570300</v>
      </c>
      <c r="I15" s="420">
        <f>SUM(I16:I31)</f>
        <v>7525146</v>
      </c>
      <c r="J15" s="420">
        <f>SUM(J16:J32)</f>
        <v>5048646</v>
      </c>
    </row>
    <row r="16" spans="1:13" ht="321.75" thickTop="1" thickBot="1" x14ac:dyDescent="0.25">
      <c r="A16" s="406" t="s">
        <v>284</v>
      </c>
      <c r="B16" s="406" t="s">
        <v>285</v>
      </c>
      <c r="C16" s="406" t="s">
        <v>286</v>
      </c>
      <c r="D16" s="406" t="s">
        <v>283</v>
      </c>
      <c r="E16" s="260" t="s">
        <v>528</v>
      </c>
      <c r="F16" s="404" t="s">
        <v>527</v>
      </c>
      <c r="G16" s="404">
        <f>H16+I16</f>
        <v>425000</v>
      </c>
      <c r="H16" s="408">
        <f>(99000)</f>
        <v>99000</v>
      </c>
      <c r="I16" s="404">
        <f>(275000+51000)</f>
        <v>326000</v>
      </c>
      <c r="J16" s="404">
        <f>(275000+51000)</f>
        <v>326000</v>
      </c>
      <c r="K16" s="156"/>
      <c r="L16" s="153"/>
      <c r="M16">
        <v>46530</v>
      </c>
    </row>
    <row r="17" spans="1:14" ht="138.75" thickTop="1" thickBot="1" x14ac:dyDescent="0.25">
      <c r="A17" s="406" t="s">
        <v>299</v>
      </c>
      <c r="B17" s="406" t="s">
        <v>55</v>
      </c>
      <c r="C17" s="406" t="s">
        <v>54</v>
      </c>
      <c r="D17" s="406" t="s">
        <v>300</v>
      </c>
      <c r="E17" s="260" t="s">
        <v>733</v>
      </c>
      <c r="F17" s="307" t="s">
        <v>747</v>
      </c>
      <c r="G17" s="404">
        <f>H17+I17</f>
        <v>840000</v>
      </c>
      <c r="H17" s="408">
        <f>(1500000)-660000</f>
        <v>840000</v>
      </c>
      <c r="I17" s="404"/>
      <c r="J17" s="404"/>
      <c r="K17" s="154" t="b">
        <f>H20+H18+H17+H19='d3'!E19</f>
        <v>1</v>
      </c>
      <c r="L17" s="154" t="b">
        <f>I20+I18+I17='d3'!J19</f>
        <v>1</v>
      </c>
      <c r="M17" s="154" t="b">
        <f>J20+J18+J17='d3'!K19</f>
        <v>1</v>
      </c>
    </row>
    <row r="18" spans="1:14" s="302" customFormat="1" ht="138.75" thickTop="1" thickBot="1" x14ac:dyDescent="0.25">
      <c r="A18" s="406" t="s">
        <v>299</v>
      </c>
      <c r="B18" s="406" t="s">
        <v>55</v>
      </c>
      <c r="C18" s="406" t="s">
        <v>54</v>
      </c>
      <c r="D18" s="406" t="s">
        <v>300</v>
      </c>
      <c r="E18" s="260" t="s">
        <v>734</v>
      </c>
      <c r="F18" s="307" t="s">
        <v>735</v>
      </c>
      <c r="G18" s="404">
        <f>H18+I18</f>
        <v>1602750</v>
      </c>
      <c r="H18" s="408">
        <f>(1672750)+61050-70000-61050</f>
        <v>1602750</v>
      </c>
      <c r="I18" s="404"/>
      <c r="J18" s="404"/>
    </row>
    <row r="19" spans="1:14" s="473" customFormat="1" ht="184.5" thickTop="1" thickBot="1" x14ac:dyDescent="0.25">
      <c r="A19" s="475" t="s">
        <v>299</v>
      </c>
      <c r="B19" s="475" t="s">
        <v>55</v>
      </c>
      <c r="C19" s="475" t="s">
        <v>54</v>
      </c>
      <c r="D19" s="475" t="s">
        <v>300</v>
      </c>
      <c r="E19" s="487" t="s">
        <v>929</v>
      </c>
      <c r="F19" s="334"/>
      <c r="G19" s="476">
        <f t="shared" ref="G19" si="1">H19+I19</f>
        <v>61050</v>
      </c>
      <c r="H19" s="474">
        <v>61050</v>
      </c>
      <c r="I19" s="476"/>
      <c r="J19" s="476"/>
    </row>
    <row r="20" spans="1:14" s="302" customFormat="1" ht="409.6" thickTop="1" thickBot="1" x14ac:dyDescent="0.25">
      <c r="A20" s="406" t="s">
        <v>299</v>
      </c>
      <c r="B20" s="406" t="s">
        <v>55</v>
      </c>
      <c r="C20" s="406" t="s">
        <v>54</v>
      </c>
      <c r="D20" s="406" t="s">
        <v>300</v>
      </c>
      <c r="E20" s="260" t="s">
        <v>736</v>
      </c>
      <c r="F20" s="307"/>
      <c r="G20" s="404">
        <f>H20+I20</f>
        <v>50000</v>
      </c>
      <c r="H20" s="408">
        <v>50000</v>
      </c>
      <c r="I20" s="404"/>
      <c r="J20" s="404"/>
    </row>
    <row r="21" spans="1:14" ht="230.25" thickTop="1" thickBot="1" x14ac:dyDescent="0.25">
      <c r="A21" s="406" t="s">
        <v>290</v>
      </c>
      <c r="B21" s="406" t="s">
        <v>291</v>
      </c>
      <c r="C21" s="406" t="s">
        <v>292</v>
      </c>
      <c r="D21" s="406" t="s">
        <v>289</v>
      </c>
      <c r="E21" s="260" t="s">
        <v>528</v>
      </c>
      <c r="F21" s="404" t="s">
        <v>527</v>
      </c>
      <c r="G21" s="404">
        <f>H21+I21</f>
        <v>5428746</v>
      </c>
      <c r="H21" s="404">
        <f>'d3'!E20</f>
        <v>4094100</v>
      </c>
      <c r="I21" s="404">
        <f>'d3'!J20</f>
        <v>1334646</v>
      </c>
      <c r="J21" s="404">
        <f>'d3'!K20</f>
        <v>1334646</v>
      </c>
      <c r="K21" s="154" t="b">
        <f>H21='d3'!E20</f>
        <v>1</v>
      </c>
      <c r="L21" s="136" t="b">
        <f>I21='d3'!J20</f>
        <v>1</v>
      </c>
      <c r="M21" s="137" t="b">
        <f>J21='d3'!K20</f>
        <v>1</v>
      </c>
    </row>
    <row r="22" spans="1:14" ht="93" hidden="1" thickTop="1" thickBot="1" x14ac:dyDescent="0.25">
      <c r="A22" s="274" t="s">
        <v>388</v>
      </c>
      <c r="B22" s="275" t="s">
        <v>245</v>
      </c>
      <c r="C22" s="275" t="s">
        <v>212</v>
      </c>
      <c r="D22" s="274" t="s">
        <v>43</v>
      </c>
      <c r="E22" s="280"/>
      <c r="F22" s="279"/>
      <c r="G22" s="279">
        <f t="shared" ref="G22" si="2">H22+I22</f>
        <v>0</v>
      </c>
      <c r="H22" s="279"/>
      <c r="I22" s="279"/>
      <c r="J22" s="279"/>
    </row>
    <row r="23" spans="1:14" s="302" customFormat="1" ht="409.6" thickTop="1" thickBot="1" x14ac:dyDescent="0.7">
      <c r="A23" s="528" t="s">
        <v>414</v>
      </c>
      <c r="B23" s="528" t="s">
        <v>413</v>
      </c>
      <c r="C23" s="528" t="s">
        <v>212</v>
      </c>
      <c r="D23" s="293" t="s">
        <v>588</v>
      </c>
      <c r="E23" s="606" t="s">
        <v>734</v>
      </c>
      <c r="F23" s="606" t="s">
        <v>735</v>
      </c>
      <c r="G23" s="529">
        <f>H23+I23</f>
        <v>2476500</v>
      </c>
      <c r="H23" s="529">
        <f>'d3'!E22:E23</f>
        <v>0</v>
      </c>
      <c r="I23" s="529">
        <f>'d3'!J22</f>
        <v>2476500</v>
      </c>
      <c r="J23" s="529">
        <f>'d3'!K22</f>
        <v>0</v>
      </c>
      <c r="K23" s="154" t="b">
        <f>H23='d3'!E22</f>
        <v>1</v>
      </c>
      <c r="L23" s="136" t="b">
        <f>I23='d3'!J22</f>
        <v>1</v>
      </c>
      <c r="M23" s="137" t="b">
        <f>J23='d3'!K22</f>
        <v>1</v>
      </c>
    </row>
    <row r="24" spans="1:14" s="302" customFormat="1" ht="184.5" thickTop="1" thickBot="1" x14ac:dyDescent="0.25">
      <c r="A24" s="509"/>
      <c r="B24" s="509"/>
      <c r="C24" s="509"/>
      <c r="D24" s="294" t="s">
        <v>589</v>
      </c>
      <c r="E24" s="597"/>
      <c r="F24" s="597"/>
      <c r="G24" s="597"/>
      <c r="H24" s="597"/>
      <c r="I24" s="597"/>
      <c r="J24" s="597"/>
    </row>
    <row r="25" spans="1:14" s="302" customFormat="1" ht="276" hidden="1" thickTop="1" thickBot="1" x14ac:dyDescent="0.25">
      <c r="A25" s="304" t="s">
        <v>737</v>
      </c>
      <c r="B25" s="304" t="s">
        <v>310</v>
      </c>
      <c r="C25" s="304" t="s">
        <v>212</v>
      </c>
      <c r="D25" s="304" t="s">
        <v>308</v>
      </c>
      <c r="E25" s="306" t="s">
        <v>599</v>
      </c>
      <c r="F25" s="307" t="s">
        <v>546</v>
      </c>
      <c r="G25" s="279">
        <f>H25+I25</f>
        <v>0</v>
      </c>
      <c r="H25" s="279">
        <f>'d3'!E24</f>
        <v>0</v>
      </c>
      <c r="I25" s="279">
        <f>'d3'!J24</f>
        <v>0</v>
      </c>
      <c r="J25" s="279">
        <f>'d3'!K24</f>
        <v>0</v>
      </c>
      <c r="K25" s="154" t="b">
        <f>H25='d3'!E24</f>
        <v>1</v>
      </c>
      <c r="L25" s="136" t="b">
        <f>I25='d3'!J24</f>
        <v>1</v>
      </c>
      <c r="M25" s="137" t="b">
        <f>J25='d3'!K24</f>
        <v>1</v>
      </c>
    </row>
    <row r="26" spans="1:14" ht="276" thickTop="1" thickBot="1" x14ac:dyDescent="0.25">
      <c r="A26" s="304" t="s">
        <v>293</v>
      </c>
      <c r="B26" s="304" t="s">
        <v>294</v>
      </c>
      <c r="C26" s="304" t="s">
        <v>295</v>
      </c>
      <c r="D26" s="304" t="s">
        <v>296</v>
      </c>
      <c r="E26" s="306" t="s">
        <v>772</v>
      </c>
      <c r="F26" s="404" t="s">
        <v>529</v>
      </c>
      <c r="G26" s="404">
        <f>H26+I26</f>
        <v>5313400</v>
      </c>
      <c r="H26" s="404">
        <f>'d3'!E25</f>
        <v>5313400</v>
      </c>
      <c r="I26" s="404">
        <f>'d3'!J25</f>
        <v>0</v>
      </c>
      <c r="J26" s="404">
        <f>'d3'!K25</f>
        <v>0</v>
      </c>
      <c r="K26" s="154" t="b">
        <f>H26='d3'!E25</f>
        <v>1</v>
      </c>
      <c r="L26" s="136" t="b">
        <f>I26='d3'!J25</f>
        <v>1</v>
      </c>
      <c r="M26" s="137" t="b">
        <f>J26='d3'!K25</f>
        <v>1</v>
      </c>
    </row>
    <row r="27" spans="1:14" s="302" customFormat="1" ht="276" thickTop="1" thickBot="1" x14ac:dyDescent="0.25">
      <c r="A27" s="304" t="s">
        <v>297</v>
      </c>
      <c r="B27" s="304" t="s">
        <v>298</v>
      </c>
      <c r="C27" s="304" t="s">
        <v>55</v>
      </c>
      <c r="D27" s="304" t="s">
        <v>593</v>
      </c>
      <c r="E27" s="260" t="s">
        <v>734</v>
      </c>
      <c r="F27" s="307" t="s">
        <v>735</v>
      </c>
      <c r="G27" s="306">
        <f>H27+I27</f>
        <v>200000</v>
      </c>
      <c r="H27" s="261">
        <f>'d3'!E26</f>
        <v>200000</v>
      </c>
      <c r="I27" s="306">
        <f>'d3'!J26</f>
        <v>0</v>
      </c>
      <c r="J27" s="306">
        <f>'d3'!K26</f>
        <v>0</v>
      </c>
      <c r="K27" s="154" t="b">
        <f>H27='d3'!E26</f>
        <v>1</v>
      </c>
      <c r="L27" s="136" t="b">
        <f>I27='d3'!J26</f>
        <v>1</v>
      </c>
      <c r="M27" s="137" t="b">
        <f>J27='d3'!K26</f>
        <v>1</v>
      </c>
    </row>
    <row r="28" spans="1:14" s="302" customFormat="1" ht="327" thickTop="1" thickBot="1" x14ac:dyDescent="0.25">
      <c r="A28" s="304" t="s">
        <v>738</v>
      </c>
      <c r="B28" s="304" t="s">
        <v>739</v>
      </c>
      <c r="C28" s="304" t="s">
        <v>55</v>
      </c>
      <c r="D28" s="304" t="s">
        <v>740</v>
      </c>
      <c r="E28" s="412" t="s">
        <v>876</v>
      </c>
      <c r="F28" s="306"/>
      <c r="G28" s="306">
        <f t="shared" ref="G28:G32" si="3">H28+I28</f>
        <v>250000</v>
      </c>
      <c r="H28" s="321">
        <f>150000+60000</f>
        <v>210000</v>
      </c>
      <c r="I28" s="321">
        <v>40000</v>
      </c>
      <c r="J28" s="323">
        <v>40000</v>
      </c>
      <c r="K28" s="154" t="b">
        <f>H28+H29+H30+H31+H32='d3'!E27</f>
        <v>1</v>
      </c>
      <c r="L28" s="136" t="b">
        <f>I28+I29+I30+I31+I32='d3'!J27</f>
        <v>1</v>
      </c>
      <c r="M28" s="313" t="b">
        <f>J28+J29+J30+J31+J32='d3'!K27</f>
        <v>1</v>
      </c>
      <c r="N28" s="268"/>
    </row>
    <row r="29" spans="1:14" s="302" customFormat="1" ht="409.6" thickTop="1" thickBot="1" x14ac:dyDescent="0.25">
      <c r="A29" s="304" t="s">
        <v>738</v>
      </c>
      <c r="B29" s="304" t="s">
        <v>739</v>
      </c>
      <c r="C29" s="304" t="s">
        <v>55</v>
      </c>
      <c r="D29" s="304" t="s">
        <v>740</v>
      </c>
      <c r="E29" s="284" t="s">
        <v>741</v>
      </c>
      <c r="F29" s="312" t="s">
        <v>742</v>
      </c>
      <c r="G29" s="306">
        <f t="shared" si="3"/>
        <v>100000</v>
      </c>
      <c r="H29" s="306">
        <v>100000</v>
      </c>
      <c r="I29" s="306">
        <v>0</v>
      </c>
      <c r="J29" s="306">
        <v>0</v>
      </c>
      <c r="K29" s="154"/>
      <c r="L29" s="136"/>
      <c r="M29" s="137"/>
    </row>
    <row r="30" spans="1:14" s="302" customFormat="1" ht="409.6" thickTop="1" thickBot="1" x14ac:dyDescent="0.25">
      <c r="A30" s="304" t="s">
        <v>738</v>
      </c>
      <c r="B30" s="304" t="s">
        <v>739</v>
      </c>
      <c r="C30" s="304" t="s">
        <v>55</v>
      </c>
      <c r="D30" s="304" t="s">
        <v>740</v>
      </c>
      <c r="E30" s="312" t="s">
        <v>743</v>
      </c>
      <c r="F30" s="312" t="s">
        <v>744</v>
      </c>
      <c r="G30" s="306">
        <f t="shared" si="3"/>
        <v>3048000</v>
      </c>
      <c r="H30" s="306">
        <v>0</v>
      </c>
      <c r="I30" s="306">
        <f>3048000</f>
        <v>3048000</v>
      </c>
      <c r="J30" s="323">
        <f>3048000</f>
        <v>3048000</v>
      </c>
      <c r="K30" s="154"/>
      <c r="L30" s="136"/>
      <c r="M30" s="137"/>
    </row>
    <row r="31" spans="1:14" s="302" customFormat="1" ht="280.5" thickTop="1" thickBot="1" x14ac:dyDescent="0.25">
      <c r="A31" s="304" t="s">
        <v>738</v>
      </c>
      <c r="B31" s="304" t="s">
        <v>739</v>
      </c>
      <c r="C31" s="304" t="s">
        <v>55</v>
      </c>
      <c r="D31" s="304" t="s">
        <v>740</v>
      </c>
      <c r="E31" s="284" t="s">
        <v>745</v>
      </c>
      <c r="F31" s="312" t="s">
        <v>746</v>
      </c>
      <c r="G31" s="306">
        <f t="shared" si="3"/>
        <v>300000</v>
      </c>
      <c r="H31" s="321">
        <v>0</v>
      </c>
      <c r="I31" s="321">
        <f>300000</f>
        <v>300000</v>
      </c>
      <c r="J31" s="323">
        <f>300000</f>
        <v>300000</v>
      </c>
      <c r="K31" s="154"/>
      <c r="L31" s="136"/>
      <c r="M31" s="137"/>
    </row>
    <row r="32" spans="1:14" s="302" customFormat="1" ht="367.5" hidden="1" thickTop="1" thickBot="1" x14ac:dyDescent="0.25">
      <c r="A32" s="304" t="s">
        <v>738</v>
      </c>
      <c r="B32" s="304" t="s">
        <v>739</v>
      </c>
      <c r="C32" s="304" t="s">
        <v>55</v>
      </c>
      <c r="D32" s="304" t="s">
        <v>740</v>
      </c>
      <c r="E32" s="306" t="s">
        <v>749</v>
      </c>
      <c r="F32" s="312" t="s">
        <v>748</v>
      </c>
      <c r="G32" s="306">
        <f t="shared" si="3"/>
        <v>0</v>
      </c>
      <c r="H32" s="306"/>
      <c r="I32" s="306">
        <v>0</v>
      </c>
      <c r="J32" s="306">
        <v>0</v>
      </c>
      <c r="K32" s="154"/>
      <c r="L32" s="136"/>
      <c r="M32" s="137"/>
    </row>
    <row r="33" spans="1:13" ht="136.5" thickTop="1" thickBot="1" x14ac:dyDescent="0.25">
      <c r="A33" s="413" t="s">
        <v>194</v>
      </c>
      <c r="B33" s="413"/>
      <c r="C33" s="413"/>
      <c r="D33" s="414" t="s">
        <v>0</v>
      </c>
      <c r="E33" s="415"/>
      <c r="F33" s="416"/>
      <c r="G33" s="416">
        <f>G34</f>
        <v>1335429087.22</v>
      </c>
      <c r="H33" s="416">
        <f t="shared" ref="H33:J33" si="4">H34</f>
        <v>1155320487.52</v>
      </c>
      <c r="I33" s="415">
        <f t="shared" si="4"/>
        <v>180108599.69999999</v>
      </c>
      <c r="J33" s="415">
        <f t="shared" si="4"/>
        <v>44392639.700000003</v>
      </c>
      <c r="K33" s="154" t="b">
        <f>H33='d3'!E29</f>
        <v>1</v>
      </c>
      <c r="L33" s="136" t="b">
        <f>I33='d3'!J29</f>
        <v>1</v>
      </c>
      <c r="M33" s="137" t="b">
        <f>J33='d3'!K28</f>
        <v>1</v>
      </c>
    </row>
    <row r="34" spans="1:13" ht="136.5" thickTop="1" thickBot="1" x14ac:dyDescent="0.25">
      <c r="A34" s="417" t="s">
        <v>195</v>
      </c>
      <c r="B34" s="417"/>
      <c r="C34" s="417"/>
      <c r="D34" s="418" t="s">
        <v>1</v>
      </c>
      <c r="E34" s="419"/>
      <c r="F34" s="420"/>
      <c r="G34" s="420">
        <f>SUM(G35:G50)</f>
        <v>1335429087.22</v>
      </c>
      <c r="H34" s="420">
        <f>SUM(H35:H50)</f>
        <v>1155320487.52</v>
      </c>
      <c r="I34" s="420">
        <f>SUM(I35:I50)</f>
        <v>180108599.69999999</v>
      </c>
      <c r="J34" s="420">
        <f>SUM(J35:J50)</f>
        <v>44392639.700000003</v>
      </c>
    </row>
    <row r="35" spans="1:13" ht="145.5" customHeight="1" thickTop="1" thickBot="1" x14ac:dyDescent="0.25">
      <c r="A35" s="304" t="s">
        <v>246</v>
      </c>
      <c r="B35" s="304" t="s">
        <v>247</v>
      </c>
      <c r="C35" s="304" t="s">
        <v>249</v>
      </c>
      <c r="D35" s="304" t="s">
        <v>250</v>
      </c>
      <c r="E35" s="260" t="s">
        <v>535</v>
      </c>
      <c r="F35" s="306" t="s">
        <v>512</v>
      </c>
      <c r="G35" s="409">
        <f t="shared" ref="G35:G45" si="5">H35+I35</f>
        <v>387847411.56999999</v>
      </c>
      <c r="H35" s="409">
        <f>'d3'!E30</f>
        <v>327506166.56999999</v>
      </c>
      <c r="I35" s="409">
        <f>'d3'!J30</f>
        <v>60341245</v>
      </c>
      <c r="J35" s="409">
        <f>'d3'!K30</f>
        <v>4898735</v>
      </c>
    </row>
    <row r="36" spans="1:13" ht="230.25" thickTop="1" thickBot="1" x14ac:dyDescent="0.25">
      <c r="A36" s="304" t="s">
        <v>251</v>
      </c>
      <c r="B36" s="304" t="s">
        <v>248</v>
      </c>
      <c r="C36" s="304" t="s">
        <v>252</v>
      </c>
      <c r="D36" s="304" t="s">
        <v>714</v>
      </c>
      <c r="E36" s="260" t="s">
        <v>535</v>
      </c>
      <c r="F36" s="306" t="s">
        <v>512</v>
      </c>
      <c r="G36" s="409">
        <f t="shared" si="5"/>
        <v>721723748.76999998</v>
      </c>
      <c r="H36" s="409">
        <f>'d3'!E31-H37-H38</f>
        <v>637941383.95000005</v>
      </c>
      <c r="I36" s="409">
        <f>'d3'!J31-I37-I38</f>
        <v>83782364.819999993</v>
      </c>
      <c r="J36" s="409">
        <f>'d3'!K31-J37-J38</f>
        <v>32869574.82</v>
      </c>
    </row>
    <row r="37" spans="1:13" ht="230.25" thickTop="1" thickBot="1" x14ac:dyDescent="0.25">
      <c r="A37" s="304" t="s">
        <v>251</v>
      </c>
      <c r="B37" s="304" t="s">
        <v>248</v>
      </c>
      <c r="C37" s="304" t="s">
        <v>252</v>
      </c>
      <c r="D37" s="304" t="s">
        <v>714</v>
      </c>
      <c r="E37" s="260" t="s">
        <v>536</v>
      </c>
      <c r="F37" s="306" t="s">
        <v>507</v>
      </c>
      <c r="G37" s="409">
        <f t="shared" si="5"/>
        <v>6261113</v>
      </c>
      <c r="H37" s="409">
        <v>6261113</v>
      </c>
      <c r="I37" s="409">
        <v>0</v>
      </c>
      <c r="J37" s="409">
        <v>0</v>
      </c>
    </row>
    <row r="38" spans="1:13" s="302" customFormat="1" ht="230.25" thickTop="1" thickBot="1" x14ac:dyDescent="0.25">
      <c r="A38" s="304" t="s">
        <v>251</v>
      </c>
      <c r="B38" s="304" t="s">
        <v>248</v>
      </c>
      <c r="C38" s="304" t="s">
        <v>252</v>
      </c>
      <c r="D38" s="304" t="s">
        <v>714</v>
      </c>
      <c r="E38" s="260" t="s">
        <v>602</v>
      </c>
      <c r="F38" s="307" t="s">
        <v>603</v>
      </c>
      <c r="G38" s="306">
        <f>H38+I38</f>
        <v>699910</v>
      </c>
      <c r="H38" s="306">
        <f>55870+201300</f>
        <v>257170</v>
      </c>
      <c r="I38" s="306">
        <f>442740</f>
        <v>442740</v>
      </c>
      <c r="J38" s="323">
        <f>442740</f>
        <v>442740</v>
      </c>
    </row>
    <row r="39" spans="1:13" ht="276" thickTop="1" thickBot="1" x14ac:dyDescent="0.25">
      <c r="A39" s="304" t="s">
        <v>716</v>
      </c>
      <c r="B39" s="304" t="s">
        <v>253</v>
      </c>
      <c r="C39" s="304" t="s">
        <v>255</v>
      </c>
      <c r="D39" s="304" t="s">
        <v>715</v>
      </c>
      <c r="E39" s="260" t="s">
        <v>535</v>
      </c>
      <c r="F39" s="306" t="s">
        <v>512</v>
      </c>
      <c r="G39" s="409">
        <f t="shared" si="5"/>
        <v>17946258</v>
      </c>
      <c r="H39" s="409">
        <f>'d3'!E32-H40</f>
        <v>17856759</v>
      </c>
      <c r="I39" s="409">
        <f>'d3'!J32-I40</f>
        <v>89499</v>
      </c>
      <c r="J39" s="409">
        <f>'d3'!K32-J40</f>
        <v>38099</v>
      </c>
    </row>
    <row r="40" spans="1:13" ht="276" thickTop="1" thickBot="1" x14ac:dyDescent="0.25">
      <c r="A40" s="304" t="s">
        <v>716</v>
      </c>
      <c r="B40" s="304" t="s">
        <v>253</v>
      </c>
      <c r="C40" s="304" t="s">
        <v>255</v>
      </c>
      <c r="D40" s="304" t="s">
        <v>715</v>
      </c>
      <c r="E40" s="260" t="s">
        <v>536</v>
      </c>
      <c r="F40" s="306" t="s">
        <v>507</v>
      </c>
      <c r="G40" s="409">
        <f t="shared" si="5"/>
        <v>1712640</v>
      </c>
      <c r="H40" s="409">
        <v>1680640</v>
      </c>
      <c r="I40" s="409">
        <v>32000</v>
      </c>
      <c r="J40" s="409">
        <v>32000</v>
      </c>
    </row>
    <row r="41" spans="1:13" ht="184.5" thickTop="1" thickBot="1" x14ac:dyDescent="0.25">
      <c r="A41" s="304" t="s">
        <v>256</v>
      </c>
      <c r="B41" s="304" t="s">
        <v>239</v>
      </c>
      <c r="C41" s="304" t="s">
        <v>228</v>
      </c>
      <c r="D41" s="304" t="s">
        <v>717</v>
      </c>
      <c r="E41" s="260" t="s">
        <v>535</v>
      </c>
      <c r="F41" s="306" t="s">
        <v>512</v>
      </c>
      <c r="G41" s="409">
        <f t="shared" si="5"/>
        <v>45468558</v>
      </c>
      <c r="H41" s="409">
        <f>'d3'!E33-H42</f>
        <v>33117248</v>
      </c>
      <c r="I41" s="409">
        <f>'d3'!J33-I42</f>
        <v>12351310</v>
      </c>
      <c r="J41" s="409">
        <f>'d3'!K33-J42</f>
        <v>5119000</v>
      </c>
    </row>
    <row r="42" spans="1:13" s="197" customFormat="1" ht="184.5" thickTop="1" thickBot="1" x14ac:dyDescent="0.25">
      <c r="A42" s="304" t="s">
        <v>256</v>
      </c>
      <c r="B42" s="304" t="s">
        <v>239</v>
      </c>
      <c r="C42" s="304" t="s">
        <v>228</v>
      </c>
      <c r="D42" s="304" t="s">
        <v>717</v>
      </c>
      <c r="E42" s="260" t="s">
        <v>536</v>
      </c>
      <c r="F42" s="306" t="s">
        <v>507</v>
      </c>
      <c r="G42" s="409">
        <f t="shared" si="5"/>
        <v>45600</v>
      </c>
      <c r="H42" s="409">
        <v>45600</v>
      </c>
      <c r="I42" s="409"/>
      <c r="J42" s="409"/>
    </row>
    <row r="43" spans="1:13" ht="184.5" thickTop="1" thickBot="1" x14ac:dyDescent="0.25">
      <c r="A43" s="304" t="s">
        <v>257</v>
      </c>
      <c r="B43" s="304" t="s">
        <v>258</v>
      </c>
      <c r="C43" s="304" t="s">
        <v>259</v>
      </c>
      <c r="D43" s="304" t="s">
        <v>719</v>
      </c>
      <c r="E43" s="260" t="s">
        <v>535</v>
      </c>
      <c r="F43" s="306" t="s">
        <v>512</v>
      </c>
      <c r="G43" s="409">
        <f t="shared" si="5"/>
        <v>120393510</v>
      </c>
      <c r="H43" s="409">
        <f>'d3'!E34</f>
        <v>98915700</v>
      </c>
      <c r="I43" s="409">
        <f>'d3'!J34</f>
        <v>21477810</v>
      </c>
      <c r="J43" s="409">
        <f>'d3'!K34</f>
        <v>0</v>
      </c>
    </row>
    <row r="44" spans="1:13" ht="138.75" thickTop="1" thickBot="1" x14ac:dyDescent="0.25">
      <c r="A44" s="304" t="s">
        <v>260</v>
      </c>
      <c r="B44" s="304" t="s">
        <v>261</v>
      </c>
      <c r="C44" s="304" t="s">
        <v>262</v>
      </c>
      <c r="D44" s="304" t="s">
        <v>720</v>
      </c>
      <c r="E44" s="260" t="s">
        <v>535</v>
      </c>
      <c r="F44" s="306" t="s">
        <v>512</v>
      </c>
      <c r="G44" s="409">
        <f t="shared" si="5"/>
        <v>5256990</v>
      </c>
      <c r="H44" s="409">
        <f>'d3'!E35</f>
        <v>5193490</v>
      </c>
      <c r="I44" s="409">
        <f>'d3'!J35</f>
        <v>63500</v>
      </c>
      <c r="J44" s="409">
        <f>'d3'!K35</f>
        <v>0</v>
      </c>
    </row>
    <row r="45" spans="1:13" ht="175.7" customHeight="1" thickTop="1" thickBot="1" x14ac:dyDescent="0.25">
      <c r="A45" s="304" t="s">
        <v>390</v>
      </c>
      <c r="B45" s="304" t="s">
        <v>391</v>
      </c>
      <c r="C45" s="304" t="s">
        <v>262</v>
      </c>
      <c r="D45" s="304" t="s">
        <v>721</v>
      </c>
      <c r="E45" s="260" t="s">
        <v>535</v>
      </c>
      <c r="F45" s="306" t="s">
        <v>512</v>
      </c>
      <c r="G45" s="409">
        <f t="shared" si="5"/>
        <v>20726070</v>
      </c>
      <c r="H45" s="409">
        <f>'d3'!E36</f>
        <v>20190430</v>
      </c>
      <c r="I45" s="409">
        <f>'d3'!J36</f>
        <v>535640</v>
      </c>
      <c r="J45" s="409">
        <f>'d3'!K36</f>
        <v>0</v>
      </c>
    </row>
    <row r="46" spans="1:13" ht="172.5" customHeight="1" thickTop="1" thickBot="1" x14ac:dyDescent="0.25">
      <c r="A46" s="304" t="s">
        <v>411</v>
      </c>
      <c r="B46" s="304" t="s">
        <v>412</v>
      </c>
      <c r="C46" s="304" t="s">
        <v>262</v>
      </c>
      <c r="D46" s="304" t="s">
        <v>410</v>
      </c>
      <c r="E46" s="260" t="s">
        <v>535</v>
      </c>
      <c r="F46" s="306" t="s">
        <v>512</v>
      </c>
      <c r="G46" s="409">
        <f>H46+I46</f>
        <v>120000</v>
      </c>
      <c r="H46" s="409">
        <f>'d3'!E37-H47</f>
        <v>120000</v>
      </c>
      <c r="I46" s="409">
        <f>'d3'!J37-I47</f>
        <v>0</v>
      </c>
      <c r="J46" s="409">
        <f>'d3'!K37-J47</f>
        <v>0</v>
      </c>
    </row>
    <row r="47" spans="1:13" s="197" customFormat="1" ht="172.5" customHeight="1" thickTop="1" thickBot="1" x14ac:dyDescent="0.25">
      <c r="A47" s="304" t="s">
        <v>411</v>
      </c>
      <c r="B47" s="304" t="s">
        <v>412</v>
      </c>
      <c r="C47" s="304" t="s">
        <v>262</v>
      </c>
      <c r="D47" s="304" t="s">
        <v>410</v>
      </c>
      <c r="E47" s="260" t="s">
        <v>536</v>
      </c>
      <c r="F47" s="306" t="s">
        <v>507</v>
      </c>
      <c r="G47" s="409">
        <f>H47+I47</f>
        <v>36200</v>
      </c>
      <c r="H47" s="409">
        <v>36200</v>
      </c>
      <c r="I47" s="409"/>
      <c r="J47" s="409"/>
    </row>
    <row r="48" spans="1:13" ht="138.75" thickTop="1" thickBot="1" x14ac:dyDescent="0.25">
      <c r="A48" s="304" t="s">
        <v>547</v>
      </c>
      <c r="B48" s="304" t="s">
        <v>548</v>
      </c>
      <c r="C48" s="304" t="s">
        <v>262</v>
      </c>
      <c r="D48" s="304" t="s">
        <v>549</v>
      </c>
      <c r="E48" s="260" t="s">
        <v>535</v>
      </c>
      <c r="F48" s="306" t="s">
        <v>512</v>
      </c>
      <c r="G48" s="409">
        <f>H48+I48</f>
        <v>4098587</v>
      </c>
      <c r="H48" s="409">
        <f>'d3'!E38</f>
        <v>4098587</v>
      </c>
      <c r="I48" s="409">
        <f>'d3'!J38</f>
        <v>0</v>
      </c>
      <c r="J48" s="409">
        <f>'d3'!K38</f>
        <v>0</v>
      </c>
    </row>
    <row r="49" spans="1:13" ht="367.5" thickTop="1" thickBot="1" x14ac:dyDescent="0.25">
      <c r="A49" s="304" t="s">
        <v>551</v>
      </c>
      <c r="B49" s="304" t="s">
        <v>552</v>
      </c>
      <c r="C49" s="304" t="s">
        <v>232</v>
      </c>
      <c r="D49" s="304" t="s">
        <v>550</v>
      </c>
      <c r="E49" s="260" t="s">
        <v>536</v>
      </c>
      <c r="F49" s="306" t="s">
        <v>507</v>
      </c>
      <c r="G49" s="409">
        <f>H49+I49</f>
        <v>2100000</v>
      </c>
      <c r="H49" s="409">
        <f>'d3'!E39</f>
        <v>2100000</v>
      </c>
      <c r="I49" s="409">
        <f>'d3'!J39</f>
        <v>0</v>
      </c>
      <c r="J49" s="409">
        <f>'d3'!K39</f>
        <v>0</v>
      </c>
    </row>
    <row r="50" spans="1:13" s="320" customFormat="1" ht="138.75" thickTop="1" thickBot="1" x14ac:dyDescent="0.25">
      <c r="A50" s="322" t="s">
        <v>769</v>
      </c>
      <c r="B50" s="322" t="s">
        <v>264</v>
      </c>
      <c r="C50" s="322" t="s">
        <v>265</v>
      </c>
      <c r="D50" s="322" t="s">
        <v>53</v>
      </c>
      <c r="E50" s="260" t="s">
        <v>535</v>
      </c>
      <c r="F50" s="321" t="s">
        <v>512</v>
      </c>
      <c r="G50" s="321">
        <f>H50+I50</f>
        <v>992490.88</v>
      </c>
      <c r="H50" s="321">
        <f>'d3'!E40</f>
        <v>0</v>
      </c>
      <c r="I50" s="321">
        <f>'d3'!J40</f>
        <v>992490.88</v>
      </c>
      <c r="J50" s="321">
        <f>'d3'!K40</f>
        <v>992490.88</v>
      </c>
    </row>
    <row r="51" spans="1:13" ht="136.5" thickTop="1" thickBot="1" x14ac:dyDescent="0.25">
      <c r="A51" s="413" t="s">
        <v>196</v>
      </c>
      <c r="B51" s="413"/>
      <c r="C51" s="413"/>
      <c r="D51" s="414" t="s">
        <v>22</v>
      </c>
      <c r="E51" s="415"/>
      <c r="F51" s="416"/>
      <c r="G51" s="416">
        <f>G52</f>
        <v>188816890.72999999</v>
      </c>
      <c r="H51" s="416">
        <f t="shared" ref="H51:J51" si="6">H52</f>
        <v>159752983.13</v>
      </c>
      <c r="I51" s="415">
        <f t="shared" si="6"/>
        <v>29063907.600000001</v>
      </c>
      <c r="J51" s="415">
        <f t="shared" si="6"/>
        <v>29041907.600000001</v>
      </c>
      <c r="K51" s="154" t="b">
        <f>H51='d3'!E41-'d3'!P43</f>
        <v>1</v>
      </c>
      <c r="L51" s="136" t="b">
        <f>I51='d3'!J41</f>
        <v>1</v>
      </c>
      <c r="M51" s="137" t="b">
        <f>J51='d3'!K41</f>
        <v>1</v>
      </c>
    </row>
    <row r="52" spans="1:13" ht="136.5" thickTop="1" thickBot="1" x14ac:dyDescent="0.25">
      <c r="A52" s="417" t="s">
        <v>197</v>
      </c>
      <c r="B52" s="417"/>
      <c r="C52" s="417"/>
      <c r="D52" s="418" t="s">
        <v>45</v>
      </c>
      <c r="E52" s="419"/>
      <c r="F52" s="420"/>
      <c r="G52" s="420">
        <f>SUM(G53:G78)</f>
        <v>188816890.72999999</v>
      </c>
      <c r="H52" s="420">
        <f>SUM(H53:H78)</f>
        <v>159752983.13</v>
      </c>
      <c r="I52" s="420">
        <f>SUM(I53:I78)</f>
        <v>29063907.600000001</v>
      </c>
      <c r="J52" s="420">
        <f>SUM(J53:J78)</f>
        <v>29041907.600000001</v>
      </c>
    </row>
    <row r="53" spans="1:13" ht="138.75" thickTop="1" thickBot="1" x14ac:dyDescent="0.25">
      <c r="A53" s="300" t="s">
        <v>266</v>
      </c>
      <c r="B53" s="300" t="s">
        <v>263</v>
      </c>
      <c r="C53" s="300" t="s">
        <v>267</v>
      </c>
      <c r="D53" s="300" t="s">
        <v>23</v>
      </c>
      <c r="E53" s="299" t="s">
        <v>567</v>
      </c>
      <c r="F53" s="299" t="s">
        <v>511</v>
      </c>
      <c r="G53" s="529">
        <f>H53+I53</f>
        <v>82722151</v>
      </c>
      <c r="H53" s="529">
        <f>'d3'!E44-H55</f>
        <v>72635041</v>
      </c>
      <c r="I53" s="529">
        <f>'d3'!J44-I55</f>
        <v>10087110</v>
      </c>
      <c r="J53" s="529">
        <f>'d3'!K44-J55</f>
        <v>10087110</v>
      </c>
    </row>
    <row r="54" spans="1:13" s="336" customFormat="1" ht="367.5" thickTop="1" thickBot="1" x14ac:dyDescent="0.25">
      <c r="A54" s="338" t="s">
        <v>266</v>
      </c>
      <c r="B54" s="338" t="s">
        <v>263</v>
      </c>
      <c r="C54" s="338" t="s">
        <v>267</v>
      </c>
      <c r="D54" s="338" t="s">
        <v>23</v>
      </c>
      <c r="E54" s="337" t="s">
        <v>773</v>
      </c>
      <c r="F54" s="337" t="s">
        <v>774</v>
      </c>
      <c r="G54" s="598"/>
      <c r="H54" s="598"/>
      <c r="I54" s="598"/>
      <c r="J54" s="598"/>
    </row>
    <row r="55" spans="1:13" s="298" customFormat="1" ht="230.25" thickTop="1" thickBot="1" x14ac:dyDescent="0.25">
      <c r="A55" s="300" t="s">
        <v>266</v>
      </c>
      <c r="B55" s="300" t="s">
        <v>263</v>
      </c>
      <c r="C55" s="300" t="s">
        <v>267</v>
      </c>
      <c r="D55" s="300" t="s">
        <v>23</v>
      </c>
      <c r="E55" s="260" t="s">
        <v>602</v>
      </c>
      <c r="F55" s="307" t="s">
        <v>603</v>
      </c>
      <c r="G55" s="299">
        <f>H55+I55</f>
        <v>149000</v>
      </c>
      <c r="H55" s="299">
        <f>149000</f>
        <v>149000</v>
      </c>
      <c r="I55" s="299">
        <v>0</v>
      </c>
      <c r="J55" s="299">
        <v>0</v>
      </c>
    </row>
    <row r="56" spans="1:13" s="298" customFormat="1" ht="138.75" thickTop="1" thickBot="1" x14ac:dyDescent="0.25">
      <c r="A56" s="300" t="s">
        <v>725</v>
      </c>
      <c r="B56" s="300" t="s">
        <v>728</v>
      </c>
      <c r="C56" s="300" t="s">
        <v>727</v>
      </c>
      <c r="D56" s="300" t="s">
        <v>726</v>
      </c>
      <c r="E56" s="299" t="s">
        <v>567</v>
      </c>
      <c r="F56" s="299" t="s">
        <v>511</v>
      </c>
      <c r="G56" s="529">
        <f>H56+I56</f>
        <v>7981320</v>
      </c>
      <c r="H56" s="529">
        <f>'d3'!E45</f>
        <v>7981320</v>
      </c>
      <c r="I56" s="529">
        <f>'d3'!J45</f>
        <v>0</v>
      </c>
      <c r="J56" s="529">
        <f>'d3'!K45</f>
        <v>0</v>
      </c>
    </row>
    <row r="57" spans="1:13" s="336" customFormat="1" ht="367.5" thickTop="1" thickBot="1" x14ac:dyDescent="0.25">
      <c r="A57" s="338" t="s">
        <v>725</v>
      </c>
      <c r="B57" s="338" t="s">
        <v>728</v>
      </c>
      <c r="C57" s="338" t="s">
        <v>727</v>
      </c>
      <c r="D57" s="338" t="s">
        <v>726</v>
      </c>
      <c r="E57" s="337" t="s">
        <v>773</v>
      </c>
      <c r="F57" s="337" t="s">
        <v>774</v>
      </c>
      <c r="G57" s="598"/>
      <c r="H57" s="598"/>
      <c r="I57" s="598"/>
      <c r="J57" s="598"/>
    </row>
    <row r="58" spans="1:13" ht="138.75" thickTop="1" thickBot="1" x14ac:dyDescent="0.25">
      <c r="A58" s="300" t="s">
        <v>268</v>
      </c>
      <c r="B58" s="300" t="s">
        <v>269</v>
      </c>
      <c r="C58" s="300" t="s">
        <v>270</v>
      </c>
      <c r="D58" s="300" t="s">
        <v>271</v>
      </c>
      <c r="E58" s="299" t="s">
        <v>567</v>
      </c>
      <c r="F58" s="299" t="s">
        <v>511</v>
      </c>
      <c r="G58" s="529">
        <f t="shared" ref="G58:G71" si="7">H58+I58</f>
        <v>21457469.399999999</v>
      </c>
      <c r="H58" s="529">
        <f>'d3'!E46-H60</f>
        <v>21457469.399999999</v>
      </c>
      <c r="I58" s="529">
        <f>'d3'!J46-I60</f>
        <v>0</v>
      </c>
      <c r="J58" s="529">
        <f>'d3'!K46-J60</f>
        <v>0</v>
      </c>
    </row>
    <row r="59" spans="1:13" s="336" customFormat="1" ht="367.5" thickTop="1" thickBot="1" x14ac:dyDescent="0.25">
      <c r="A59" s="338" t="s">
        <v>268</v>
      </c>
      <c r="B59" s="338" t="s">
        <v>269</v>
      </c>
      <c r="C59" s="338" t="s">
        <v>270</v>
      </c>
      <c r="D59" s="338" t="s">
        <v>271</v>
      </c>
      <c r="E59" s="337" t="s">
        <v>773</v>
      </c>
      <c r="F59" s="337" t="s">
        <v>774</v>
      </c>
      <c r="G59" s="598"/>
      <c r="H59" s="598"/>
      <c r="I59" s="598"/>
      <c r="J59" s="598"/>
    </row>
    <row r="60" spans="1:13" s="298" customFormat="1" ht="230.25" thickTop="1" thickBot="1" x14ac:dyDescent="0.25">
      <c r="A60" s="300" t="s">
        <v>268</v>
      </c>
      <c r="B60" s="300" t="s">
        <v>269</v>
      </c>
      <c r="C60" s="300" t="s">
        <v>270</v>
      </c>
      <c r="D60" s="300" t="s">
        <v>271</v>
      </c>
      <c r="E60" s="260" t="s">
        <v>602</v>
      </c>
      <c r="F60" s="307" t="s">
        <v>603</v>
      </c>
      <c r="G60" s="299">
        <f>H60+I60</f>
        <v>124500</v>
      </c>
      <c r="H60" s="299">
        <f>124500</f>
        <v>124500</v>
      </c>
      <c r="I60" s="299">
        <v>0</v>
      </c>
      <c r="J60" s="299">
        <v>0</v>
      </c>
    </row>
    <row r="61" spans="1:13" ht="138.75" thickTop="1" thickBot="1" x14ac:dyDescent="0.25">
      <c r="A61" s="300" t="s">
        <v>272</v>
      </c>
      <c r="B61" s="300" t="s">
        <v>273</v>
      </c>
      <c r="C61" s="300" t="s">
        <v>274</v>
      </c>
      <c r="D61" s="300" t="s">
        <v>422</v>
      </c>
      <c r="E61" s="299" t="s">
        <v>567</v>
      </c>
      <c r="F61" s="299" t="s">
        <v>511</v>
      </c>
      <c r="G61" s="529">
        <f t="shared" si="7"/>
        <v>22897978</v>
      </c>
      <c r="H61" s="529">
        <f>'d3'!E47-H63</f>
        <v>22897978</v>
      </c>
      <c r="I61" s="529">
        <f>'d3'!J47-I63</f>
        <v>0</v>
      </c>
      <c r="J61" s="529">
        <f>'d3'!K47-J63</f>
        <v>0</v>
      </c>
    </row>
    <row r="62" spans="1:13" s="336" customFormat="1" ht="367.5" thickTop="1" thickBot="1" x14ac:dyDescent="0.25">
      <c r="A62" s="338" t="s">
        <v>272</v>
      </c>
      <c r="B62" s="338" t="s">
        <v>273</v>
      </c>
      <c r="C62" s="338" t="s">
        <v>274</v>
      </c>
      <c r="D62" s="338" t="s">
        <v>422</v>
      </c>
      <c r="E62" s="337" t="s">
        <v>773</v>
      </c>
      <c r="F62" s="337" t="s">
        <v>774</v>
      </c>
      <c r="G62" s="598"/>
      <c r="H62" s="598"/>
      <c r="I62" s="598"/>
      <c r="J62" s="598"/>
    </row>
    <row r="63" spans="1:13" s="298" customFormat="1" ht="230.25" thickTop="1" thickBot="1" x14ac:dyDescent="0.25">
      <c r="A63" s="300" t="s">
        <v>272</v>
      </c>
      <c r="B63" s="300" t="s">
        <v>273</v>
      </c>
      <c r="C63" s="300" t="s">
        <v>274</v>
      </c>
      <c r="D63" s="300" t="s">
        <v>422</v>
      </c>
      <c r="E63" s="260" t="s">
        <v>602</v>
      </c>
      <c r="F63" s="307" t="s">
        <v>603</v>
      </c>
      <c r="G63" s="299">
        <f>H63+I63</f>
        <v>148120</v>
      </c>
      <c r="H63" s="299">
        <f>148120</f>
        <v>148120</v>
      </c>
      <c r="I63" s="299">
        <v>0</v>
      </c>
      <c r="J63" s="299">
        <v>0</v>
      </c>
    </row>
    <row r="64" spans="1:13" ht="172.5" customHeight="1" thickTop="1" thickBot="1" x14ac:dyDescent="0.25">
      <c r="A64" s="300" t="s">
        <v>275</v>
      </c>
      <c r="B64" s="300" t="s">
        <v>276</v>
      </c>
      <c r="C64" s="300" t="s">
        <v>277</v>
      </c>
      <c r="D64" s="300" t="s">
        <v>278</v>
      </c>
      <c r="E64" s="299" t="s">
        <v>567</v>
      </c>
      <c r="F64" s="299" t="s">
        <v>511</v>
      </c>
      <c r="G64" s="529">
        <f t="shared" si="7"/>
        <v>6353822</v>
      </c>
      <c r="H64" s="529">
        <f>'d3'!E48-H66</f>
        <v>6353822</v>
      </c>
      <c r="I64" s="529">
        <f>'d3'!J48-I66</f>
        <v>0</v>
      </c>
      <c r="J64" s="529">
        <f>'d3'!K48-J66</f>
        <v>0</v>
      </c>
    </row>
    <row r="65" spans="1:13" s="336" customFormat="1" ht="367.5" thickTop="1" thickBot="1" x14ac:dyDescent="0.25">
      <c r="A65" s="338" t="s">
        <v>275</v>
      </c>
      <c r="B65" s="338" t="s">
        <v>276</v>
      </c>
      <c r="C65" s="338" t="s">
        <v>277</v>
      </c>
      <c r="D65" s="338" t="s">
        <v>278</v>
      </c>
      <c r="E65" s="337" t="s">
        <v>773</v>
      </c>
      <c r="F65" s="337" t="s">
        <v>774</v>
      </c>
      <c r="G65" s="598"/>
      <c r="H65" s="598"/>
      <c r="I65" s="598"/>
      <c r="J65" s="598"/>
    </row>
    <row r="66" spans="1:13" ht="321.75" thickTop="1" thickBot="1" x14ac:dyDescent="0.25">
      <c r="A66" s="300" t="s">
        <v>275</v>
      </c>
      <c r="B66" s="300" t="s">
        <v>276</v>
      </c>
      <c r="C66" s="300" t="s">
        <v>277</v>
      </c>
      <c r="D66" s="300" t="s">
        <v>278</v>
      </c>
      <c r="E66" s="260" t="s">
        <v>576</v>
      </c>
      <c r="F66" s="299" t="s">
        <v>508</v>
      </c>
      <c r="G66" s="404">
        <f t="shared" si="7"/>
        <v>1200000</v>
      </c>
      <c r="H66" s="404">
        <v>1200000</v>
      </c>
      <c r="I66" s="404"/>
      <c r="J66" s="404"/>
    </row>
    <row r="67" spans="1:13" ht="184.5" thickTop="1" thickBot="1" x14ac:dyDescent="0.25">
      <c r="A67" s="300" t="s">
        <v>279</v>
      </c>
      <c r="B67" s="300" t="s">
        <v>280</v>
      </c>
      <c r="C67" s="300" t="s">
        <v>423</v>
      </c>
      <c r="D67" s="300" t="s">
        <v>281</v>
      </c>
      <c r="E67" s="299" t="s">
        <v>567</v>
      </c>
      <c r="F67" s="299" t="s">
        <v>511</v>
      </c>
      <c r="G67" s="529">
        <f t="shared" si="7"/>
        <v>8923043</v>
      </c>
      <c r="H67" s="529">
        <f>'d3'!E49</f>
        <v>8923043</v>
      </c>
      <c r="I67" s="529">
        <f>'d3'!J49</f>
        <v>0</v>
      </c>
      <c r="J67" s="529">
        <f>'d3'!K49</f>
        <v>0</v>
      </c>
    </row>
    <row r="68" spans="1:13" s="336" customFormat="1" ht="367.5" thickTop="1" thickBot="1" x14ac:dyDescent="0.25">
      <c r="A68" s="338" t="s">
        <v>279</v>
      </c>
      <c r="B68" s="338" t="s">
        <v>280</v>
      </c>
      <c r="C68" s="338" t="s">
        <v>423</v>
      </c>
      <c r="D68" s="338" t="s">
        <v>281</v>
      </c>
      <c r="E68" s="337" t="s">
        <v>773</v>
      </c>
      <c r="F68" s="337" t="s">
        <v>774</v>
      </c>
      <c r="G68" s="598"/>
      <c r="H68" s="598"/>
      <c r="I68" s="598"/>
      <c r="J68" s="598"/>
    </row>
    <row r="69" spans="1:13" s="212" customFormat="1" ht="138.75" thickTop="1" thickBot="1" x14ac:dyDescent="0.25">
      <c r="A69" s="300" t="s">
        <v>679</v>
      </c>
      <c r="B69" s="300" t="s">
        <v>680</v>
      </c>
      <c r="C69" s="300" t="s">
        <v>282</v>
      </c>
      <c r="D69" s="300" t="s">
        <v>681</v>
      </c>
      <c r="E69" s="299" t="s">
        <v>567</v>
      </c>
      <c r="F69" s="299" t="s">
        <v>511</v>
      </c>
      <c r="G69" s="529">
        <f t="shared" si="7"/>
        <v>8987396.6899999995</v>
      </c>
      <c r="H69" s="529">
        <f>'d3'!E50</f>
        <v>8987396.6899999995</v>
      </c>
      <c r="I69" s="529">
        <f>'d3'!J50</f>
        <v>0</v>
      </c>
      <c r="J69" s="529">
        <f>'d3'!K50</f>
        <v>0</v>
      </c>
    </row>
    <row r="70" spans="1:13" s="336" customFormat="1" ht="367.5" thickTop="1" thickBot="1" x14ac:dyDescent="0.25">
      <c r="A70" s="338" t="s">
        <v>679</v>
      </c>
      <c r="B70" s="338" t="s">
        <v>680</v>
      </c>
      <c r="C70" s="338" t="s">
        <v>282</v>
      </c>
      <c r="D70" s="338" t="s">
        <v>681</v>
      </c>
      <c r="E70" s="337" t="s">
        <v>773</v>
      </c>
      <c r="F70" s="337" t="s">
        <v>774</v>
      </c>
      <c r="G70" s="598"/>
      <c r="H70" s="598"/>
      <c r="I70" s="598"/>
      <c r="J70" s="598"/>
    </row>
    <row r="71" spans="1:13" s="99" customFormat="1" ht="160.5" customHeight="1" thickTop="1" thickBot="1" x14ac:dyDescent="0.25">
      <c r="A71" s="300" t="s">
        <v>394</v>
      </c>
      <c r="B71" s="300" t="s">
        <v>396</v>
      </c>
      <c r="C71" s="300" t="s">
        <v>282</v>
      </c>
      <c r="D71" s="287" t="s">
        <v>392</v>
      </c>
      <c r="E71" s="299" t="s">
        <v>567</v>
      </c>
      <c r="F71" s="299" t="s">
        <v>511</v>
      </c>
      <c r="G71" s="529">
        <f t="shared" si="7"/>
        <v>4590993.04</v>
      </c>
      <c r="H71" s="529">
        <f>'d3'!E51</f>
        <v>4568993.04</v>
      </c>
      <c r="I71" s="529">
        <f>'d3'!J51</f>
        <v>22000</v>
      </c>
      <c r="J71" s="529">
        <f>'d3'!K51</f>
        <v>0</v>
      </c>
    </row>
    <row r="72" spans="1:13" s="99" customFormat="1" ht="367.5" thickTop="1" thickBot="1" x14ac:dyDescent="0.25">
      <c r="A72" s="338" t="s">
        <v>394</v>
      </c>
      <c r="B72" s="338" t="s">
        <v>396</v>
      </c>
      <c r="C72" s="338" t="s">
        <v>282</v>
      </c>
      <c r="D72" s="287" t="s">
        <v>392</v>
      </c>
      <c r="E72" s="337" t="s">
        <v>773</v>
      </c>
      <c r="F72" s="337" t="s">
        <v>774</v>
      </c>
      <c r="G72" s="598"/>
      <c r="H72" s="598"/>
      <c r="I72" s="598"/>
      <c r="J72" s="598"/>
    </row>
    <row r="73" spans="1:13" s="99" customFormat="1" ht="166.7" customHeight="1" thickTop="1" thickBot="1" x14ac:dyDescent="0.25">
      <c r="A73" s="300" t="s">
        <v>395</v>
      </c>
      <c r="B73" s="300" t="s">
        <v>397</v>
      </c>
      <c r="C73" s="300" t="s">
        <v>282</v>
      </c>
      <c r="D73" s="287" t="s">
        <v>393</v>
      </c>
      <c r="E73" s="299" t="s">
        <v>567</v>
      </c>
      <c r="F73" s="299" t="s">
        <v>511</v>
      </c>
      <c r="G73" s="529">
        <f>H73+I73</f>
        <v>4326300</v>
      </c>
      <c r="H73" s="529">
        <f>'d3'!E52</f>
        <v>4326300</v>
      </c>
      <c r="I73" s="529">
        <f>'d3'!J52</f>
        <v>0</v>
      </c>
      <c r="J73" s="529">
        <f>'d3'!K52</f>
        <v>0</v>
      </c>
    </row>
    <row r="74" spans="1:13" s="99" customFormat="1" ht="367.5" thickTop="1" thickBot="1" x14ac:dyDescent="0.25">
      <c r="A74" s="338" t="s">
        <v>395</v>
      </c>
      <c r="B74" s="338" t="s">
        <v>397</v>
      </c>
      <c r="C74" s="338" t="s">
        <v>282</v>
      </c>
      <c r="D74" s="287" t="s">
        <v>393</v>
      </c>
      <c r="E74" s="337" t="s">
        <v>773</v>
      </c>
      <c r="F74" s="337" t="s">
        <v>774</v>
      </c>
      <c r="G74" s="598"/>
      <c r="H74" s="598"/>
      <c r="I74" s="598"/>
      <c r="J74" s="598"/>
    </row>
    <row r="75" spans="1:13" s="99" customFormat="1" ht="138.75" thickTop="1" thickBot="1" x14ac:dyDescent="0.25">
      <c r="A75" s="300" t="s">
        <v>566</v>
      </c>
      <c r="B75" s="300" t="s">
        <v>245</v>
      </c>
      <c r="C75" s="300" t="s">
        <v>212</v>
      </c>
      <c r="D75" s="300" t="s">
        <v>43</v>
      </c>
      <c r="E75" s="299" t="s">
        <v>567</v>
      </c>
      <c r="F75" s="299" t="s">
        <v>511</v>
      </c>
      <c r="G75" s="529">
        <f>H75+I75</f>
        <v>18790297.600000001</v>
      </c>
      <c r="H75" s="529">
        <v>0</v>
      </c>
      <c r="I75" s="529">
        <f>'d3'!J53-I77</f>
        <v>18790297.600000001</v>
      </c>
      <c r="J75" s="529">
        <f>'d3'!K53-J77</f>
        <v>18790297.600000001</v>
      </c>
    </row>
    <row r="76" spans="1:13" s="99" customFormat="1" ht="367.5" thickTop="1" thickBot="1" x14ac:dyDescent="0.25">
      <c r="A76" s="338" t="s">
        <v>566</v>
      </c>
      <c r="B76" s="338" t="s">
        <v>245</v>
      </c>
      <c r="C76" s="338" t="s">
        <v>212</v>
      </c>
      <c r="D76" s="338" t="s">
        <v>43</v>
      </c>
      <c r="E76" s="337" t="s">
        <v>773</v>
      </c>
      <c r="F76" s="337" t="s">
        <v>774</v>
      </c>
      <c r="G76" s="598"/>
      <c r="H76" s="598"/>
      <c r="I76" s="598"/>
      <c r="J76" s="598"/>
    </row>
    <row r="77" spans="1:13" s="99" customFormat="1" ht="230.25" thickTop="1" thickBot="1" x14ac:dyDescent="0.25">
      <c r="A77" s="300" t="s">
        <v>566</v>
      </c>
      <c r="B77" s="300" t="s">
        <v>245</v>
      </c>
      <c r="C77" s="300" t="s">
        <v>212</v>
      </c>
      <c r="D77" s="300" t="s">
        <v>43</v>
      </c>
      <c r="E77" s="260" t="s">
        <v>602</v>
      </c>
      <c r="F77" s="307" t="s">
        <v>603</v>
      </c>
      <c r="G77" s="299">
        <f>H77+I77</f>
        <v>164500</v>
      </c>
      <c r="H77" s="299">
        <v>0</v>
      </c>
      <c r="I77" s="299">
        <f>164500</f>
        <v>164500</v>
      </c>
      <c r="J77" s="323">
        <f>164500</f>
        <v>164500</v>
      </c>
    </row>
    <row r="78" spans="1:13" s="99" customFormat="1" ht="138.75" hidden="1" thickTop="1" thickBot="1" x14ac:dyDescent="0.25">
      <c r="A78" s="300" t="s">
        <v>729</v>
      </c>
      <c r="B78" s="300" t="s">
        <v>446</v>
      </c>
      <c r="C78" s="300" t="s">
        <v>55</v>
      </c>
      <c r="D78" s="300" t="s">
        <v>447</v>
      </c>
      <c r="E78" s="299" t="s">
        <v>567</v>
      </c>
      <c r="F78" s="299" t="s">
        <v>511</v>
      </c>
      <c r="G78" s="299">
        <f>H78+I78</f>
        <v>0</v>
      </c>
      <c r="H78" s="299">
        <f>'d3'!F54</f>
        <v>0</v>
      </c>
      <c r="I78" s="299">
        <f>'d3'!J54</f>
        <v>0</v>
      </c>
      <c r="J78" s="299">
        <f>'d3'!K54</f>
        <v>0</v>
      </c>
    </row>
    <row r="79" spans="1:13" ht="226.5" thickTop="1" thickBot="1" x14ac:dyDescent="0.25">
      <c r="A79" s="413" t="s">
        <v>198</v>
      </c>
      <c r="B79" s="413"/>
      <c r="C79" s="413"/>
      <c r="D79" s="414" t="s">
        <v>46</v>
      </c>
      <c r="E79" s="415"/>
      <c r="F79" s="416"/>
      <c r="G79" s="416">
        <f>G80</f>
        <v>171898053</v>
      </c>
      <c r="H79" s="416">
        <f t="shared" ref="H79:J79" si="8">H80</f>
        <v>160267054</v>
      </c>
      <c r="I79" s="415">
        <f t="shared" si="8"/>
        <v>11630999</v>
      </c>
      <c r="J79" s="415">
        <f t="shared" si="8"/>
        <v>11110999</v>
      </c>
      <c r="K79" s="154" t="b">
        <f>H79='d3'!E56-'d3'!E57</f>
        <v>1</v>
      </c>
      <c r="L79" s="136" t="b">
        <f>I79='d3'!J55-'d3'!J57+I81</f>
        <v>1</v>
      </c>
      <c r="M79" s="136" t="b">
        <f>J79='d3'!K55-'d3'!K57+J81</f>
        <v>1</v>
      </c>
    </row>
    <row r="80" spans="1:13" ht="226.5" thickTop="1" thickBot="1" x14ac:dyDescent="0.25">
      <c r="A80" s="417" t="s">
        <v>199</v>
      </c>
      <c r="B80" s="417"/>
      <c r="C80" s="417"/>
      <c r="D80" s="418" t="s">
        <v>47</v>
      </c>
      <c r="E80" s="419"/>
      <c r="F80" s="420"/>
      <c r="G80" s="420">
        <f>SUM(G81:G106)</f>
        <v>171898053</v>
      </c>
      <c r="H80" s="420">
        <f>SUM(H81:H106)</f>
        <v>160267054</v>
      </c>
      <c r="I80" s="420">
        <f>SUM(I81:I106)</f>
        <v>11630999</v>
      </c>
      <c r="J80" s="420">
        <f>SUM(J81:J106)</f>
        <v>11110999</v>
      </c>
      <c r="L80" s="112"/>
    </row>
    <row r="81" spans="1:12" s="158" customFormat="1" ht="230.25" thickTop="1" thickBot="1" x14ac:dyDescent="0.25">
      <c r="A81" s="289" t="s">
        <v>516</v>
      </c>
      <c r="B81" s="289" t="s">
        <v>288</v>
      </c>
      <c r="C81" s="289" t="s">
        <v>286</v>
      </c>
      <c r="D81" s="289" t="s">
        <v>287</v>
      </c>
      <c r="E81" s="260" t="s">
        <v>528</v>
      </c>
      <c r="F81" s="291" t="s">
        <v>527</v>
      </c>
      <c r="G81" s="409">
        <f t="shared" ref="G81" si="9">H81+I81</f>
        <v>500000</v>
      </c>
      <c r="H81" s="409">
        <v>0</v>
      </c>
      <c r="I81" s="409">
        <f>500000</f>
        <v>500000</v>
      </c>
      <c r="J81" s="409">
        <f>500000</f>
        <v>500000</v>
      </c>
      <c r="L81" s="112"/>
    </row>
    <row r="82" spans="1:12" s="99" customFormat="1" ht="184.5" thickTop="1" thickBot="1" x14ac:dyDescent="0.25">
      <c r="A82" s="300" t="s">
        <v>322</v>
      </c>
      <c r="B82" s="300" t="s">
        <v>323</v>
      </c>
      <c r="C82" s="300" t="s">
        <v>253</v>
      </c>
      <c r="D82" s="286" t="s">
        <v>324</v>
      </c>
      <c r="E82" s="260" t="s">
        <v>536</v>
      </c>
      <c r="F82" s="299" t="s">
        <v>507</v>
      </c>
      <c r="G82" s="409">
        <f t="shared" ref="G82:G88" si="10">H82+I82</f>
        <v>720000</v>
      </c>
      <c r="H82" s="409">
        <f>'d3'!E58</f>
        <v>570000</v>
      </c>
      <c r="I82" s="409">
        <f>'d3'!J58</f>
        <v>150000</v>
      </c>
      <c r="J82" s="409">
        <f>'d3'!K58</f>
        <v>150000</v>
      </c>
    </row>
    <row r="83" spans="1:12" s="99" customFormat="1" ht="184.5" thickTop="1" thickBot="1" x14ac:dyDescent="0.25">
      <c r="A83" s="300" t="s">
        <v>325</v>
      </c>
      <c r="B83" s="300" t="s">
        <v>326</v>
      </c>
      <c r="C83" s="300" t="s">
        <v>254</v>
      </c>
      <c r="D83" s="300" t="s">
        <v>7</v>
      </c>
      <c r="E83" s="260" t="s">
        <v>536</v>
      </c>
      <c r="F83" s="299" t="s">
        <v>507</v>
      </c>
      <c r="G83" s="409">
        <f t="shared" si="10"/>
        <v>1410000</v>
      </c>
      <c r="H83" s="409">
        <f>'d3'!E59</f>
        <v>1410000</v>
      </c>
      <c r="I83" s="409">
        <f>'d3'!J59</f>
        <v>0</v>
      </c>
      <c r="J83" s="409">
        <f>'d3'!K59</f>
        <v>0</v>
      </c>
    </row>
    <row r="84" spans="1:12" s="99" customFormat="1" ht="184.5" thickTop="1" thickBot="1" x14ac:dyDescent="0.25">
      <c r="A84" s="300" t="s">
        <v>328</v>
      </c>
      <c r="B84" s="300" t="s">
        <v>329</v>
      </c>
      <c r="C84" s="300" t="s">
        <v>254</v>
      </c>
      <c r="D84" s="300" t="s">
        <v>8</v>
      </c>
      <c r="E84" s="260" t="s">
        <v>536</v>
      </c>
      <c r="F84" s="299" t="s">
        <v>507</v>
      </c>
      <c r="G84" s="409">
        <f t="shared" si="10"/>
        <v>7900000</v>
      </c>
      <c r="H84" s="409">
        <f>'d3'!E60</f>
        <v>7900000</v>
      </c>
      <c r="I84" s="409">
        <f>'d3'!J60</f>
        <v>0</v>
      </c>
      <c r="J84" s="409">
        <f>'d3'!K60</f>
        <v>0</v>
      </c>
    </row>
    <row r="85" spans="1:12" s="99" customFormat="1" ht="184.5" thickTop="1" thickBot="1" x14ac:dyDescent="0.25">
      <c r="A85" s="300" t="s">
        <v>330</v>
      </c>
      <c r="B85" s="300" t="s">
        <v>327</v>
      </c>
      <c r="C85" s="300" t="s">
        <v>254</v>
      </c>
      <c r="D85" s="300" t="s">
        <v>9</v>
      </c>
      <c r="E85" s="260" t="s">
        <v>536</v>
      </c>
      <c r="F85" s="299" t="s">
        <v>507</v>
      </c>
      <c r="G85" s="409">
        <f t="shared" si="10"/>
        <v>600000</v>
      </c>
      <c r="H85" s="409">
        <f>'d3'!E61</f>
        <v>600000</v>
      </c>
      <c r="I85" s="409">
        <f>'d3'!J61</f>
        <v>0</v>
      </c>
      <c r="J85" s="409">
        <f>'d3'!K61</f>
        <v>0</v>
      </c>
    </row>
    <row r="86" spans="1:12" s="99" customFormat="1" ht="184.5" thickTop="1" thickBot="1" x14ac:dyDescent="0.25">
      <c r="A86" s="300" t="s">
        <v>331</v>
      </c>
      <c r="B86" s="300" t="s">
        <v>332</v>
      </c>
      <c r="C86" s="300" t="s">
        <v>254</v>
      </c>
      <c r="D86" s="300" t="s">
        <v>11</v>
      </c>
      <c r="E86" s="260" t="s">
        <v>536</v>
      </c>
      <c r="F86" s="299" t="s">
        <v>507</v>
      </c>
      <c r="G86" s="409">
        <f t="shared" si="10"/>
        <v>76800000</v>
      </c>
      <c r="H86" s="409">
        <f>'d3'!E62</f>
        <v>76800000</v>
      </c>
      <c r="I86" s="409">
        <f>'d3'!J62</f>
        <v>0</v>
      </c>
      <c r="J86" s="409">
        <f>'d3'!K62</f>
        <v>0</v>
      </c>
    </row>
    <row r="87" spans="1:12" s="99" customFormat="1" ht="184.5" thickTop="1" thickBot="1" x14ac:dyDescent="0.25">
      <c r="A87" s="300" t="s">
        <v>682</v>
      </c>
      <c r="B87" s="300" t="s">
        <v>683</v>
      </c>
      <c r="C87" s="300" t="s">
        <v>254</v>
      </c>
      <c r="D87" s="300" t="s">
        <v>684</v>
      </c>
      <c r="E87" s="260" t="s">
        <v>536</v>
      </c>
      <c r="F87" s="299" t="s">
        <v>507</v>
      </c>
      <c r="G87" s="409">
        <f t="shared" si="10"/>
        <v>194834</v>
      </c>
      <c r="H87" s="409">
        <f>'d3'!E63</f>
        <v>194834</v>
      </c>
      <c r="I87" s="409">
        <f>'d3'!J63</f>
        <v>0</v>
      </c>
      <c r="J87" s="409">
        <f>'d3'!K63</f>
        <v>0</v>
      </c>
    </row>
    <row r="88" spans="1:12" s="99" customFormat="1" ht="184.5" thickTop="1" thickBot="1" x14ac:dyDescent="0.25">
      <c r="A88" s="300" t="s">
        <v>685</v>
      </c>
      <c r="B88" s="300" t="s">
        <v>686</v>
      </c>
      <c r="C88" s="300" t="s">
        <v>253</v>
      </c>
      <c r="D88" s="300" t="s">
        <v>687</v>
      </c>
      <c r="E88" s="260" t="s">
        <v>536</v>
      </c>
      <c r="F88" s="299" t="s">
        <v>507</v>
      </c>
      <c r="G88" s="409">
        <f t="shared" si="10"/>
        <v>249955</v>
      </c>
      <c r="H88" s="409">
        <f>'d3'!E64</f>
        <v>249955</v>
      </c>
      <c r="I88" s="409">
        <f>'d3'!J64</f>
        <v>0</v>
      </c>
      <c r="J88" s="409">
        <f>'d3'!K64</f>
        <v>0</v>
      </c>
    </row>
    <row r="89" spans="1:12" ht="276" thickTop="1" thickBot="1" x14ac:dyDescent="0.25">
      <c r="A89" s="300" t="s">
        <v>320</v>
      </c>
      <c r="B89" s="300" t="s">
        <v>318</v>
      </c>
      <c r="C89" s="300" t="s">
        <v>248</v>
      </c>
      <c r="D89" s="300" t="s">
        <v>21</v>
      </c>
      <c r="E89" s="260" t="s">
        <v>536</v>
      </c>
      <c r="F89" s="299" t="s">
        <v>507</v>
      </c>
      <c r="G89" s="409">
        <f t="shared" ref="G89:G104" si="11">H89+I89</f>
        <v>21431028</v>
      </c>
      <c r="H89" s="409">
        <f>'d3'!E65</f>
        <v>21241028</v>
      </c>
      <c r="I89" s="409">
        <f>'d3'!J65</f>
        <v>190000</v>
      </c>
      <c r="J89" s="409">
        <f>'d3'!K65</f>
        <v>0</v>
      </c>
    </row>
    <row r="90" spans="1:12" ht="184.5" thickTop="1" thickBot="1" x14ac:dyDescent="0.25">
      <c r="A90" s="300" t="s">
        <v>321</v>
      </c>
      <c r="B90" s="300" t="s">
        <v>319</v>
      </c>
      <c r="C90" s="300" t="s">
        <v>247</v>
      </c>
      <c r="D90" s="300" t="s">
        <v>609</v>
      </c>
      <c r="E90" s="260" t="s">
        <v>536</v>
      </c>
      <c r="F90" s="299" t="s">
        <v>507</v>
      </c>
      <c r="G90" s="409">
        <f t="shared" si="11"/>
        <v>5988260</v>
      </c>
      <c r="H90" s="409">
        <f>'d3'!E66-H91</f>
        <v>5973260</v>
      </c>
      <c r="I90" s="409">
        <f>'d3'!J66-I91</f>
        <v>15000</v>
      </c>
      <c r="J90" s="409">
        <f>'d3'!K66-J91</f>
        <v>15000</v>
      </c>
    </row>
    <row r="91" spans="1:12" s="298" customFormat="1" ht="230.25" thickTop="1" thickBot="1" x14ac:dyDescent="0.25">
      <c r="A91" s="300" t="s">
        <v>321</v>
      </c>
      <c r="B91" s="300" t="s">
        <v>319</v>
      </c>
      <c r="C91" s="300" t="s">
        <v>247</v>
      </c>
      <c r="D91" s="300" t="s">
        <v>609</v>
      </c>
      <c r="E91" s="260" t="s">
        <v>602</v>
      </c>
      <c r="F91" s="307" t="s">
        <v>603</v>
      </c>
      <c r="G91" s="299">
        <f>H91+I91</f>
        <v>69800</v>
      </c>
      <c r="H91" s="261">
        <v>0</v>
      </c>
      <c r="I91" s="299">
        <f>69800</f>
        <v>69800</v>
      </c>
      <c r="J91" s="323">
        <f>69800</f>
        <v>69800</v>
      </c>
    </row>
    <row r="92" spans="1:12" ht="409.6" thickTop="1" thickBot="1" x14ac:dyDescent="0.25">
      <c r="A92" s="300" t="s">
        <v>316</v>
      </c>
      <c r="B92" s="300" t="s">
        <v>317</v>
      </c>
      <c r="C92" s="300" t="s">
        <v>247</v>
      </c>
      <c r="D92" s="300" t="s">
        <v>607</v>
      </c>
      <c r="E92" s="260" t="s">
        <v>536</v>
      </c>
      <c r="F92" s="299" t="s">
        <v>507</v>
      </c>
      <c r="G92" s="409">
        <f t="shared" si="11"/>
        <v>2719650</v>
      </c>
      <c r="H92" s="409">
        <f>'d3'!E67</f>
        <v>2719650</v>
      </c>
      <c r="I92" s="409">
        <f>'d3'!J67</f>
        <v>0</v>
      </c>
      <c r="J92" s="409">
        <f>'d3'!K67</f>
        <v>0</v>
      </c>
    </row>
    <row r="93" spans="1:12" s="212" customFormat="1" ht="276" thickTop="1" thickBot="1" x14ac:dyDescent="0.25">
      <c r="A93" s="300" t="s">
        <v>688</v>
      </c>
      <c r="B93" s="300" t="s">
        <v>689</v>
      </c>
      <c r="C93" s="300" t="s">
        <v>247</v>
      </c>
      <c r="D93" s="300" t="s">
        <v>690</v>
      </c>
      <c r="E93" s="260" t="s">
        <v>536</v>
      </c>
      <c r="F93" s="299" t="s">
        <v>507</v>
      </c>
      <c r="G93" s="409">
        <f t="shared" si="11"/>
        <v>164029</v>
      </c>
      <c r="H93" s="409">
        <f>'d3'!E68</f>
        <v>164029</v>
      </c>
      <c r="I93" s="409">
        <f>'d3'!J68</f>
        <v>0</v>
      </c>
      <c r="J93" s="409">
        <f>'d3'!K68</f>
        <v>0</v>
      </c>
    </row>
    <row r="94" spans="1:12" ht="367.5" thickTop="1" thickBot="1" x14ac:dyDescent="0.25">
      <c r="A94" s="300" t="s">
        <v>425</v>
      </c>
      <c r="B94" s="300" t="s">
        <v>424</v>
      </c>
      <c r="C94" s="300" t="s">
        <v>62</v>
      </c>
      <c r="D94" s="300" t="s">
        <v>608</v>
      </c>
      <c r="E94" s="260" t="s">
        <v>536</v>
      </c>
      <c r="F94" s="299" t="s">
        <v>507</v>
      </c>
      <c r="G94" s="409">
        <f t="shared" si="11"/>
        <v>868380</v>
      </c>
      <c r="H94" s="409">
        <f>'d3'!E69-H95</f>
        <v>868380</v>
      </c>
      <c r="I94" s="409">
        <f>'d3'!J69-I95</f>
        <v>0</v>
      </c>
      <c r="J94" s="409">
        <f>'d3'!K69-J95</f>
        <v>0</v>
      </c>
    </row>
    <row r="95" spans="1:12" ht="367.5" thickTop="1" thickBot="1" x14ac:dyDescent="0.25">
      <c r="A95" s="300" t="s">
        <v>425</v>
      </c>
      <c r="B95" s="300" t="s">
        <v>424</v>
      </c>
      <c r="C95" s="300" t="s">
        <v>62</v>
      </c>
      <c r="D95" s="300" t="s">
        <v>608</v>
      </c>
      <c r="E95" s="260" t="s">
        <v>577</v>
      </c>
      <c r="F95" s="299" t="s">
        <v>508</v>
      </c>
      <c r="G95" s="409">
        <f t="shared" si="11"/>
        <v>1199460</v>
      </c>
      <c r="H95" s="409">
        <f>941370+258090</f>
        <v>1199460</v>
      </c>
      <c r="I95" s="409">
        <v>0</v>
      </c>
      <c r="J95" s="409">
        <v>0</v>
      </c>
    </row>
    <row r="96" spans="1:12" ht="230.25" thickTop="1" thickBot="1" x14ac:dyDescent="0.25">
      <c r="A96" s="300" t="s">
        <v>398</v>
      </c>
      <c r="B96" s="300" t="s">
        <v>399</v>
      </c>
      <c r="C96" s="300" t="s">
        <v>253</v>
      </c>
      <c r="D96" s="300" t="s">
        <v>426</v>
      </c>
      <c r="E96" s="260" t="s">
        <v>536</v>
      </c>
      <c r="F96" s="299" t="s">
        <v>507</v>
      </c>
      <c r="G96" s="409">
        <f t="shared" si="11"/>
        <v>500000</v>
      </c>
      <c r="H96" s="409">
        <f>'d3'!E70</f>
        <v>500000</v>
      </c>
      <c r="I96" s="409">
        <f>'d3'!J70</f>
        <v>0</v>
      </c>
      <c r="J96" s="409">
        <f>'d3'!K70</f>
        <v>0</v>
      </c>
    </row>
    <row r="97" spans="1:13" ht="138.75" thickTop="1" thickBot="1" x14ac:dyDescent="0.25">
      <c r="A97" s="300" t="s">
        <v>540</v>
      </c>
      <c r="B97" s="300" t="s">
        <v>459</v>
      </c>
      <c r="C97" s="300" t="s">
        <v>460</v>
      </c>
      <c r="D97" s="300" t="s">
        <v>458</v>
      </c>
      <c r="E97" s="260" t="s">
        <v>612</v>
      </c>
      <c r="F97" s="299" t="s">
        <v>544</v>
      </c>
      <c r="G97" s="409">
        <f t="shared" si="11"/>
        <v>350000</v>
      </c>
      <c r="H97" s="409">
        <f>'d3'!E71</f>
        <v>350000</v>
      </c>
      <c r="I97" s="409">
        <f>'d3'!J71</f>
        <v>0</v>
      </c>
      <c r="J97" s="409">
        <f>'d3'!K71</f>
        <v>0</v>
      </c>
    </row>
    <row r="98" spans="1:13" ht="184.5" thickTop="1" thickBot="1" x14ac:dyDescent="0.25">
      <c r="A98" s="300" t="s">
        <v>400</v>
      </c>
      <c r="B98" s="300" t="s">
        <v>402</v>
      </c>
      <c r="C98" s="300" t="s">
        <v>239</v>
      </c>
      <c r="D98" s="287" t="s">
        <v>404</v>
      </c>
      <c r="E98" s="260" t="s">
        <v>536</v>
      </c>
      <c r="F98" s="299" t="s">
        <v>507</v>
      </c>
      <c r="G98" s="409">
        <f t="shared" si="11"/>
        <v>9367537</v>
      </c>
      <c r="H98" s="410">
        <f>'d3'!E72-H99</f>
        <v>6460958</v>
      </c>
      <c r="I98" s="409">
        <f>'d3'!J72-I99</f>
        <v>2906579</v>
      </c>
      <c r="J98" s="409">
        <f>'d3'!K72-J99</f>
        <v>2831579</v>
      </c>
    </row>
    <row r="99" spans="1:13" s="298" customFormat="1" ht="230.25" thickTop="1" thickBot="1" x14ac:dyDescent="0.25">
      <c r="A99" s="300" t="s">
        <v>400</v>
      </c>
      <c r="B99" s="300" t="s">
        <v>402</v>
      </c>
      <c r="C99" s="300" t="s">
        <v>239</v>
      </c>
      <c r="D99" s="287" t="s">
        <v>404</v>
      </c>
      <c r="E99" s="260" t="s">
        <v>602</v>
      </c>
      <c r="F99" s="307" t="s">
        <v>603</v>
      </c>
      <c r="G99" s="299">
        <f>H99+I99</f>
        <v>94620</v>
      </c>
      <c r="H99" s="261">
        <v>0</v>
      </c>
      <c r="I99" s="299">
        <f>94620</f>
        <v>94620</v>
      </c>
      <c r="J99" s="323">
        <f>94620</f>
        <v>94620</v>
      </c>
    </row>
    <row r="100" spans="1:13" ht="184.5" thickTop="1" thickBot="1" x14ac:dyDescent="0.25">
      <c r="A100" s="300" t="s">
        <v>401</v>
      </c>
      <c r="B100" s="300" t="s">
        <v>403</v>
      </c>
      <c r="C100" s="300" t="s">
        <v>239</v>
      </c>
      <c r="D100" s="287" t="s">
        <v>405</v>
      </c>
      <c r="E100" s="260" t="s">
        <v>536</v>
      </c>
      <c r="F100" s="299" t="s">
        <v>507</v>
      </c>
      <c r="G100" s="409">
        <f t="shared" si="11"/>
        <v>29540520</v>
      </c>
      <c r="H100" s="409">
        <f>'d3'!E73-H102-H101</f>
        <v>29390520</v>
      </c>
      <c r="I100" s="409">
        <f>'d3'!J73-I102-I101</f>
        <v>150000</v>
      </c>
      <c r="J100" s="409">
        <f>'d3'!K73-J102-J101</f>
        <v>150000</v>
      </c>
    </row>
    <row r="101" spans="1:13" s="201" customFormat="1" ht="138.75" thickTop="1" thickBot="1" x14ac:dyDescent="0.25">
      <c r="A101" s="300" t="s">
        <v>401</v>
      </c>
      <c r="B101" s="300" t="s">
        <v>403</v>
      </c>
      <c r="C101" s="300" t="s">
        <v>239</v>
      </c>
      <c r="D101" s="287" t="s">
        <v>405</v>
      </c>
      <c r="E101" s="299" t="s">
        <v>620</v>
      </c>
      <c r="F101" s="299" t="s">
        <v>621</v>
      </c>
      <c r="G101" s="409">
        <f t="shared" si="11"/>
        <v>550000</v>
      </c>
      <c r="H101" s="409">
        <f>700000-150000</f>
        <v>550000</v>
      </c>
      <c r="I101" s="409"/>
      <c r="J101" s="409"/>
    </row>
    <row r="102" spans="1:13" ht="321.75" thickTop="1" thickBot="1" x14ac:dyDescent="0.25">
      <c r="A102" s="300" t="s">
        <v>401</v>
      </c>
      <c r="B102" s="300" t="s">
        <v>403</v>
      </c>
      <c r="C102" s="300" t="s">
        <v>239</v>
      </c>
      <c r="D102" s="287" t="s">
        <v>405</v>
      </c>
      <c r="E102" s="260" t="s">
        <v>576</v>
      </c>
      <c r="F102" s="299" t="s">
        <v>508</v>
      </c>
      <c r="G102" s="409">
        <f t="shared" si="11"/>
        <v>3424980</v>
      </c>
      <c r="H102" s="409">
        <f>574980+400000+150000+1800000+200000</f>
        <v>3124980</v>
      </c>
      <c r="I102" s="409">
        <v>300000</v>
      </c>
      <c r="J102" s="409">
        <v>300000</v>
      </c>
      <c r="K102" s="138"/>
    </row>
    <row r="103" spans="1:13" ht="321.75" thickTop="1" thickBot="1" x14ac:dyDescent="0.25">
      <c r="A103" s="300" t="s">
        <v>450</v>
      </c>
      <c r="B103" s="300" t="s">
        <v>448</v>
      </c>
      <c r="C103" s="300" t="s">
        <v>416</v>
      </c>
      <c r="D103" s="287" t="s">
        <v>449</v>
      </c>
      <c r="E103" s="260" t="s">
        <v>576</v>
      </c>
      <c r="F103" s="299" t="s">
        <v>508</v>
      </c>
      <c r="G103" s="409">
        <f t="shared" si="11"/>
        <v>3000000</v>
      </c>
      <c r="H103" s="409">
        <f>'d3'!E74</f>
        <v>0</v>
      </c>
      <c r="I103" s="409">
        <f>'d3'!J74</f>
        <v>3000000</v>
      </c>
      <c r="J103" s="409">
        <f>'d3'!K74</f>
        <v>3000000</v>
      </c>
    </row>
    <row r="104" spans="1:13" ht="184.5" thickTop="1" thickBot="1" x14ac:dyDescent="0.25">
      <c r="A104" s="300" t="s">
        <v>503</v>
      </c>
      <c r="B104" s="300" t="s">
        <v>504</v>
      </c>
      <c r="C104" s="300" t="s">
        <v>361</v>
      </c>
      <c r="D104" s="287" t="s">
        <v>505</v>
      </c>
      <c r="E104" s="260" t="s">
        <v>536</v>
      </c>
      <c r="F104" s="299" t="s">
        <v>507</v>
      </c>
      <c r="G104" s="409">
        <f t="shared" si="11"/>
        <v>4000000</v>
      </c>
      <c r="H104" s="409">
        <f>'d3'!E75</f>
        <v>0</v>
      </c>
      <c r="I104" s="409">
        <f>'d3'!J75</f>
        <v>4000000</v>
      </c>
      <c r="J104" s="409">
        <f>'d3'!K75</f>
        <v>4000000</v>
      </c>
    </row>
    <row r="105" spans="1:13" s="302" customFormat="1" ht="409.6" thickTop="1" thickBot="1" x14ac:dyDescent="0.7">
      <c r="A105" s="528" t="s">
        <v>530</v>
      </c>
      <c r="B105" s="528" t="s">
        <v>413</v>
      </c>
      <c r="C105" s="528" t="s">
        <v>212</v>
      </c>
      <c r="D105" s="290" t="s">
        <v>588</v>
      </c>
      <c r="E105" s="606" t="s">
        <v>734</v>
      </c>
      <c r="F105" s="606" t="s">
        <v>735</v>
      </c>
      <c r="G105" s="529">
        <f>H105+I105</f>
        <v>255000</v>
      </c>
      <c r="H105" s="529">
        <f>'d3'!E76</f>
        <v>0</v>
      </c>
      <c r="I105" s="529">
        <f>'d3'!J76</f>
        <v>255000</v>
      </c>
      <c r="J105" s="529">
        <f>'d3'!K76</f>
        <v>0</v>
      </c>
      <c r="K105" s="154" t="b">
        <f>H105='d3'!E76</f>
        <v>1</v>
      </c>
      <c r="L105" s="136" t="b">
        <f>I105='d3'!J76</f>
        <v>1</v>
      </c>
      <c r="M105" s="136" t="b">
        <f>J105='d3'!K76</f>
        <v>1</v>
      </c>
    </row>
    <row r="106" spans="1:13" s="302" customFormat="1" ht="184.5" thickTop="1" thickBot="1" x14ac:dyDescent="0.25">
      <c r="A106" s="509"/>
      <c r="B106" s="509"/>
      <c r="C106" s="509"/>
      <c r="D106" s="292" t="s">
        <v>589</v>
      </c>
      <c r="E106" s="597"/>
      <c r="F106" s="597"/>
      <c r="G106" s="597"/>
      <c r="H106" s="597"/>
      <c r="I106" s="530"/>
      <c r="J106" s="597"/>
    </row>
    <row r="107" spans="1:13" ht="181.5" thickTop="1" thickBot="1" x14ac:dyDescent="0.25">
      <c r="A107" s="413">
        <v>1000000</v>
      </c>
      <c r="B107" s="413"/>
      <c r="C107" s="413"/>
      <c r="D107" s="414" t="s">
        <v>29</v>
      </c>
      <c r="E107" s="415"/>
      <c r="F107" s="416"/>
      <c r="G107" s="416">
        <f>G108</f>
        <v>107316659</v>
      </c>
      <c r="H107" s="416">
        <f t="shared" ref="H107:J107" si="12">H108</f>
        <v>92632100</v>
      </c>
      <c r="I107" s="415">
        <f t="shared" si="12"/>
        <v>14684559</v>
      </c>
      <c r="J107" s="415">
        <f t="shared" si="12"/>
        <v>6123889</v>
      </c>
      <c r="K107" s="154" t="b">
        <f>H107='d3'!E79</f>
        <v>1</v>
      </c>
      <c r="L107" s="136" t="b">
        <f>I107='d3'!J79</f>
        <v>1</v>
      </c>
      <c r="M107" s="137" t="b">
        <f>J107='d3'!K79</f>
        <v>1</v>
      </c>
    </row>
    <row r="108" spans="1:13" ht="181.5" thickTop="1" thickBot="1" x14ac:dyDescent="0.25">
      <c r="A108" s="417">
        <v>1010000</v>
      </c>
      <c r="B108" s="417"/>
      <c r="C108" s="417"/>
      <c r="D108" s="418" t="s">
        <v>48</v>
      </c>
      <c r="E108" s="419"/>
      <c r="F108" s="420"/>
      <c r="G108" s="420">
        <f>SUM(G109:G122)</f>
        <v>107316659</v>
      </c>
      <c r="H108" s="420">
        <f>SUM(H109:H122)</f>
        <v>92632100</v>
      </c>
      <c r="I108" s="420">
        <f>SUM(I109:I122)</f>
        <v>14684559</v>
      </c>
      <c r="J108" s="420">
        <f>SUM(J109:J122)</f>
        <v>6123889</v>
      </c>
    </row>
    <row r="109" spans="1:13" ht="184.5" thickTop="1" thickBot="1" x14ac:dyDescent="0.25">
      <c r="A109" s="431" t="s">
        <v>20</v>
      </c>
      <c r="B109" s="431" t="s">
        <v>227</v>
      </c>
      <c r="C109" s="431" t="s">
        <v>228</v>
      </c>
      <c r="D109" s="431" t="s">
        <v>718</v>
      </c>
      <c r="E109" s="429" t="s">
        <v>10</v>
      </c>
      <c r="F109" s="429" t="s">
        <v>501</v>
      </c>
      <c r="G109" s="429">
        <f>H109+I109</f>
        <v>63718187</v>
      </c>
      <c r="H109" s="429">
        <f>'d3'!E80-H110</f>
        <v>55158617</v>
      </c>
      <c r="I109" s="429">
        <f>'d3'!J80-I110</f>
        <v>8559570</v>
      </c>
      <c r="J109" s="429">
        <f>'d3'!K80-J110</f>
        <v>700000</v>
      </c>
    </row>
    <row r="110" spans="1:13" s="298" customFormat="1" ht="230.25" thickTop="1" thickBot="1" x14ac:dyDescent="0.25">
      <c r="A110" s="300" t="s">
        <v>20</v>
      </c>
      <c r="B110" s="300" t="s">
        <v>227</v>
      </c>
      <c r="C110" s="300" t="s">
        <v>228</v>
      </c>
      <c r="D110" s="300" t="s">
        <v>718</v>
      </c>
      <c r="E110" s="260" t="s">
        <v>602</v>
      </c>
      <c r="F110" s="307" t="s">
        <v>603</v>
      </c>
      <c r="G110" s="299">
        <f>H110+I110</f>
        <v>80000</v>
      </c>
      <c r="H110" s="261">
        <v>0</v>
      </c>
      <c r="I110" s="299">
        <f>80000</f>
        <v>80000</v>
      </c>
      <c r="J110" s="323">
        <f>80000</f>
        <v>80000</v>
      </c>
    </row>
    <row r="111" spans="1:13" ht="243" customHeight="1" thickTop="1" thickBot="1" x14ac:dyDescent="0.25">
      <c r="A111" s="300" t="s">
        <v>213</v>
      </c>
      <c r="B111" s="300" t="s">
        <v>214</v>
      </c>
      <c r="C111" s="300" t="s">
        <v>216</v>
      </c>
      <c r="D111" s="300" t="s">
        <v>217</v>
      </c>
      <c r="E111" s="299" t="s">
        <v>10</v>
      </c>
      <c r="F111" s="299" t="s">
        <v>501</v>
      </c>
      <c r="G111" s="429">
        <f t="shared" ref="G111:G119" si="13">H111+I111</f>
        <v>796400</v>
      </c>
      <c r="H111" s="429">
        <f>'d3'!E81</f>
        <v>796400</v>
      </c>
      <c r="I111" s="429">
        <f>'d3'!J81</f>
        <v>0</v>
      </c>
      <c r="J111" s="429">
        <f>'d3'!K81</f>
        <v>0</v>
      </c>
    </row>
    <row r="112" spans="1:13" ht="184.5" thickTop="1" thickBot="1" x14ac:dyDescent="0.25">
      <c r="A112" s="300" t="s">
        <v>218</v>
      </c>
      <c r="B112" s="300" t="s">
        <v>219</v>
      </c>
      <c r="C112" s="300" t="s">
        <v>220</v>
      </c>
      <c r="D112" s="300" t="s">
        <v>221</v>
      </c>
      <c r="E112" s="299" t="s">
        <v>10</v>
      </c>
      <c r="F112" s="299" t="s">
        <v>501</v>
      </c>
      <c r="G112" s="429">
        <f t="shared" si="13"/>
        <v>8559945</v>
      </c>
      <c r="H112" s="429">
        <f>'d3'!E82-H113</f>
        <v>8469945</v>
      </c>
      <c r="I112" s="429">
        <f>'d3'!J82-I113</f>
        <v>90000</v>
      </c>
      <c r="J112" s="429">
        <f>'d3'!K82-J113</f>
        <v>0</v>
      </c>
    </row>
    <row r="113" spans="1:13" s="298" customFormat="1" ht="230.25" thickTop="1" thickBot="1" x14ac:dyDescent="0.25">
      <c r="A113" s="300" t="s">
        <v>218</v>
      </c>
      <c r="B113" s="300" t="s">
        <v>219</v>
      </c>
      <c r="C113" s="300" t="s">
        <v>220</v>
      </c>
      <c r="D113" s="300" t="s">
        <v>221</v>
      </c>
      <c r="E113" s="260" t="s">
        <v>602</v>
      </c>
      <c r="F113" s="307" t="s">
        <v>603</v>
      </c>
      <c r="G113" s="299">
        <f>H113+I113</f>
        <v>150000</v>
      </c>
      <c r="H113" s="261">
        <f>36000</f>
        <v>36000</v>
      </c>
      <c r="I113" s="299">
        <f>114000</f>
        <v>114000</v>
      </c>
      <c r="J113" s="323">
        <f>114000</f>
        <v>114000</v>
      </c>
    </row>
    <row r="114" spans="1:13" ht="184.5" thickTop="1" thickBot="1" x14ac:dyDescent="0.25">
      <c r="A114" s="300" t="s">
        <v>222</v>
      </c>
      <c r="B114" s="300" t="s">
        <v>223</v>
      </c>
      <c r="C114" s="300" t="s">
        <v>220</v>
      </c>
      <c r="D114" s="300" t="s">
        <v>633</v>
      </c>
      <c r="E114" s="299" t="s">
        <v>10</v>
      </c>
      <c r="F114" s="299" t="s">
        <v>501</v>
      </c>
      <c r="G114" s="429">
        <f t="shared" si="13"/>
        <v>6639478</v>
      </c>
      <c r="H114" s="429">
        <f>'d3'!E83-H115</f>
        <v>1483478</v>
      </c>
      <c r="I114" s="429">
        <f>'d3'!J83-I115</f>
        <v>5156000</v>
      </c>
      <c r="J114" s="429">
        <f>'d3'!K83-J115</f>
        <v>5080000</v>
      </c>
    </row>
    <row r="115" spans="1:13" s="298" customFormat="1" ht="230.25" thickTop="1" thickBot="1" x14ac:dyDescent="0.25">
      <c r="A115" s="300" t="s">
        <v>222</v>
      </c>
      <c r="B115" s="300" t="s">
        <v>223</v>
      </c>
      <c r="C115" s="300" t="s">
        <v>220</v>
      </c>
      <c r="D115" s="300" t="s">
        <v>633</v>
      </c>
      <c r="E115" s="260" t="s">
        <v>602</v>
      </c>
      <c r="F115" s="307" t="s">
        <v>603</v>
      </c>
      <c r="G115" s="299">
        <f>H115+I115</f>
        <v>150000</v>
      </c>
      <c r="H115" s="261">
        <f>150000</f>
        <v>150000</v>
      </c>
      <c r="I115" s="299">
        <v>0</v>
      </c>
      <c r="J115" s="299">
        <v>0</v>
      </c>
    </row>
    <row r="116" spans="1:13" ht="184.5" thickTop="1" thickBot="1" x14ac:dyDescent="0.25">
      <c r="A116" s="300" t="s">
        <v>224</v>
      </c>
      <c r="B116" s="300" t="s">
        <v>215</v>
      </c>
      <c r="C116" s="300" t="s">
        <v>225</v>
      </c>
      <c r="D116" s="300" t="s">
        <v>226</v>
      </c>
      <c r="E116" s="299" t="s">
        <v>10</v>
      </c>
      <c r="F116" s="299" t="s">
        <v>501</v>
      </c>
      <c r="G116" s="429">
        <f t="shared" si="13"/>
        <v>6776700</v>
      </c>
      <c r="H116" s="429">
        <f>'d3'!E84-H117</f>
        <v>6389600</v>
      </c>
      <c r="I116" s="429">
        <f>'d3'!J84-I117</f>
        <v>387100</v>
      </c>
      <c r="J116" s="429">
        <f>'d3'!K84-J117</f>
        <v>0</v>
      </c>
    </row>
    <row r="117" spans="1:13" s="298" customFormat="1" ht="230.25" thickTop="1" thickBot="1" x14ac:dyDescent="0.25">
      <c r="A117" s="300" t="s">
        <v>224</v>
      </c>
      <c r="B117" s="300" t="s">
        <v>215</v>
      </c>
      <c r="C117" s="300" t="s">
        <v>225</v>
      </c>
      <c r="D117" s="300" t="s">
        <v>226</v>
      </c>
      <c r="E117" s="260" t="s">
        <v>602</v>
      </c>
      <c r="F117" s="307" t="s">
        <v>603</v>
      </c>
      <c r="G117" s="299">
        <f>H117+I117</f>
        <v>149889</v>
      </c>
      <c r="H117" s="261">
        <v>0</v>
      </c>
      <c r="I117" s="299">
        <f>149889</f>
        <v>149889</v>
      </c>
      <c r="J117" s="429">
        <f>149889</f>
        <v>149889</v>
      </c>
    </row>
    <row r="118" spans="1:13" ht="184.5" thickTop="1" thickBot="1" x14ac:dyDescent="0.25">
      <c r="A118" s="300" t="s">
        <v>406</v>
      </c>
      <c r="B118" s="300" t="s">
        <v>407</v>
      </c>
      <c r="C118" s="300" t="s">
        <v>229</v>
      </c>
      <c r="D118" s="300" t="s">
        <v>634</v>
      </c>
      <c r="E118" s="299" t="s">
        <v>10</v>
      </c>
      <c r="F118" s="299" t="s">
        <v>501</v>
      </c>
      <c r="G118" s="429">
        <f t="shared" si="13"/>
        <v>14518160</v>
      </c>
      <c r="H118" s="429">
        <f>'d3'!E85-H119</f>
        <v>14370160</v>
      </c>
      <c r="I118" s="429">
        <f>'d3'!J85-I119</f>
        <v>148000</v>
      </c>
      <c r="J118" s="429">
        <f>'d3'!K85-J119</f>
        <v>0</v>
      </c>
    </row>
    <row r="119" spans="1:13" ht="199.5" customHeight="1" thickTop="1" thickBot="1" x14ac:dyDescent="0.25">
      <c r="A119" s="300" t="s">
        <v>406</v>
      </c>
      <c r="B119" s="300" t="s">
        <v>407</v>
      </c>
      <c r="C119" s="300" t="s">
        <v>229</v>
      </c>
      <c r="D119" s="300" t="s">
        <v>634</v>
      </c>
      <c r="E119" s="299" t="s">
        <v>869</v>
      </c>
      <c r="F119" s="299" t="s">
        <v>502</v>
      </c>
      <c r="G119" s="429">
        <f t="shared" si="13"/>
        <v>620800</v>
      </c>
      <c r="H119" s="429">
        <v>620800</v>
      </c>
      <c r="I119" s="429"/>
      <c r="J119" s="429"/>
    </row>
    <row r="120" spans="1:13" ht="204" customHeight="1" thickTop="1" thickBot="1" x14ac:dyDescent="0.25">
      <c r="A120" s="300" t="s">
        <v>408</v>
      </c>
      <c r="B120" s="300" t="s">
        <v>409</v>
      </c>
      <c r="C120" s="300" t="s">
        <v>229</v>
      </c>
      <c r="D120" s="300" t="s">
        <v>635</v>
      </c>
      <c r="E120" s="299" t="s">
        <v>10</v>
      </c>
      <c r="F120" s="299" t="s">
        <v>501</v>
      </c>
      <c r="G120" s="429">
        <f t="shared" ref="G120:G122" si="14">H120+I120</f>
        <v>4374000</v>
      </c>
      <c r="H120" s="429">
        <f>'d3'!E86-H121-H122</f>
        <v>4374000</v>
      </c>
      <c r="I120" s="429">
        <f>'d3'!J86-I121-I122</f>
        <v>0</v>
      </c>
      <c r="J120" s="429">
        <f>'d3'!K86-J121-J122</f>
        <v>0</v>
      </c>
    </row>
    <row r="121" spans="1:13" ht="178.5" customHeight="1" thickTop="1" thickBot="1" x14ac:dyDescent="0.25">
      <c r="A121" s="300" t="s">
        <v>408</v>
      </c>
      <c r="B121" s="300" t="s">
        <v>409</v>
      </c>
      <c r="C121" s="300" t="s">
        <v>229</v>
      </c>
      <c r="D121" s="300" t="s">
        <v>635</v>
      </c>
      <c r="E121" s="299" t="s">
        <v>869</v>
      </c>
      <c r="F121" s="299" t="s">
        <v>502</v>
      </c>
      <c r="G121" s="429">
        <f t="shared" si="14"/>
        <v>318100</v>
      </c>
      <c r="H121" s="429">
        <v>318100</v>
      </c>
      <c r="I121" s="429"/>
      <c r="J121" s="429"/>
    </row>
    <row r="122" spans="1:13" s="201" customFormat="1" ht="310.5" customHeight="1" thickTop="1" thickBot="1" x14ac:dyDescent="0.25">
      <c r="A122" s="300" t="s">
        <v>408</v>
      </c>
      <c r="B122" s="300" t="s">
        <v>409</v>
      </c>
      <c r="C122" s="300" t="s">
        <v>229</v>
      </c>
      <c r="D122" s="300" t="s">
        <v>635</v>
      </c>
      <c r="E122" s="299" t="s">
        <v>610</v>
      </c>
      <c r="F122" s="299" t="s">
        <v>611</v>
      </c>
      <c r="G122" s="429">
        <f t="shared" si="14"/>
        <v>465000</v>
      </c>
      <c r="H122" s="429">
        <v>465000</v>
      </c>
      <c r="I122" s="429"/>
      <c r="J122" s="429"/>
    </row>
    <row r="123" spans="1:13" ht="136.5" thickTop="1" thickBot="1" x14ac:dyDescent="0.25">
      <c r="A123" s="413" t="s">
        <v>26</v>
      </c>
      <c r="B123" s="413"/>
      <c r="C123" s="413"/>
      <c r="D123" s="414" t="s">
        <v>27</v>
      </c>
      <c r="E123" s="415"/>
      <c r="F123" s="416"/>
      <c r="G123" s="416">
        <f>G124</f>
        <v>64769622.420000002</v>
      </c>
      <c r="H123" s="416">
        <f t="shared" ref="H123:J123" si="15">H124</f>
        <v>57610876</v>
      </c>
      <c r="I123" s="415">
        <f t="shared" si="15"/>
        <v>7158746.4199999999</v>
      </c>
      <c r="J123" s="415">
        <f t="shared" si="15"/>
        <v>4742772</v>
      </c>
      <c r="K123" s="154" t="b">
        <f>H123='d3'!E88+'d4'!F14</f>
        <v>1</v>
      </c>
      <c r="L123" s="136" t="b">
        <f>I123='d3'!J88+'d4'!G14</f>
        <v>1</v>
      </c>
      <c r="M123" s="137" t="b">
        <f>J123='d3'!K88+'d4'!H14</f>
        <v>1</v>
      </c>
    </row>
    <row r="124" spans="1:13" ht="136.5" thickTop="1" thickBot="1" x14ac:dyDescent="0.25">
      <c r="A124" s="417" t="s">
        <v>25</v>
      </c>
      <c r="B124" s="417"/>
      <c r="C124" s="417"/>
      <c r="D124" s="418" t="s">
        <v>44</v>
      </c>
      <c r="E124" s="419"/>
      <c r="F124" s="420"/>
      <c r="G124" s="420">
        <f>SUM(G125:G142)</f>
        <v>64769622.420000002</v>
      </c>
      <c r="H124" s="420">
        <f>SUM(H125:H142)</f>
        <v>57610876</v>
      </c>
      <c r="I124" s="420">
        <f>SUM(I125:I142)</f>
        <v>7158746.4199999999</v>
      </c>
      <c r="J124" s="420">
        <f>SUM(J125:J142)</f>
        <v>4742772</v>
      </c>
    </row>
    <row r="125" spans="1:13" ht="230.25" thickTop="1" thickBot="1" x14ac:dyDescent="0.25">
      <c r="A125" s="300" t="s">
        <v>230</v>
      </c>
      <c r="B125" s="300" t="s">
        <v>231</v>
      </c>
      <c r="C125" s="300" t="s">
        <v>232</v>
      </c>
      <c r="D125" s="300" t="s">
        <v>233</v>
      </c>
      <c r="E125" s="260" t="s">
        <v>770</v>
      </c>
      <c r="F125" s="299" t="s">
        <v>509</v>
      </c>
      <c r="G125" s="429">
        <f t="shared" ref="G125" si="16">H125+I125</f>
        <v>4432637</v>
      </c>
      <c r="H125" s="436">
        <f>'d3'!E89</f>
        <v>4377637</v>
      </c>
      <c r="I125" s="437">
        <f>'d3'!J89</f>
        <v>55000</v>
      </c>
      <c r="J125" s="429">
        <f>'d3'!K89</f>
        <v>55000</v>
      </c>
    </row>
    <row r="126" spans="1:13" ht="230.25" thickTop="1" thickBot="1" x14ac:dyDescent="0.25">
      <c r="A126" s="431" t="s">
        <v>237</v>
      </c>
      <c r="B126" s="431" t="s">
        <v>238</v>
      </c>
      <c r="C126" s="431" t="s">
        <v>232</v>
      </c>
      <c r="D126" s="431" t="s">
        <v>12</v>
      </c>
      <c r="E126" s="260" t="s">
        <v>770</v>
      </c>
      <c r="F126" s="429" t="s">
        <v>509</v>
      </c>
      <c r="G126" s="429">
        <f t="shared" ref="G126" si="17">H126+I126</f>
        <v>4012024</v>
      </c>
      <c r="H126" s="436">
        <f>'d3'!E90-H127</f>
        <v>3687024</v>
      </c>
      <c r="I126" s="437">
        <f>'d3'!J90-I127</f>
        <v>325000</v>
      </c>
      <c r="J126" s="429">
        <f>'d3'!K90-J127</f>
        <v>0</v>
      </c>
    </row>
    <row r="127" spans="1:13" s="298" customFormat="1" ht="230.25" thickTop="1" thickBot="1" x14ac:dyDescent="0.25">
      <c r="A127" s="300" t="s">
        <v>237</v>
      </c>
      <c r="B127" s="300" t="s">
        <v>238</v>
      </c>
      <c r="C127" s="300" t="s">
        <v>232</v>
      </c>
      <c r="D127" s="300" t="s">
        <v>12</v>
      </c>
      <c r="E127" s="260" t="s">
        <v>602</v>
      </c>
      <c r="F127" s="307" t="s">
        <v>603</v>
      </c>
      <c r="G127" s="299">
        <f>H127+I127</f>
        <v>150000</v>
      </c>
      <c r="H127" s="261">
        <v>0</v>
      </c>
      <c r="I127" s="299">
        <f>150000</f>
        <v>150000</v>
      </c>
      <c r="J127" s="323">
        <f>150000</f>
        <v>150000</v>
      </c>
    </row>
    <row r="128" spans="1:13" ht="230.25" thickTop="1" thickBot="1" x14ac:dyDescent="0.25">
      <c r="A128" s="300" t="s">
        <v>430</v>
      </c>
      <c r="B128" s="300" t="s">
        <v>431</v>
      </c>
      <c r="C128" s="300" t="s">
        <v>232</v>
      </c>
      <c r="D128" s="300" t="s">
        <v>432</v>
      </c>
      <c r="E128" s="260" t="s">
        <v>770</v>
      </c>
      <c r="F128" s="299" t="s">
        <v>509</v>
      </c>
      <c r="G128" s="429">
        <f t="shared" ref="G128:G131" si="18">H128+I128</f>
        <v>5941360</v>
      </c>
      <c r="H128" s="436">
        <f>'d3'!E91-H129</f>
        <v>5871253</v>
      </c>
      <c r="I128" s="437">
        <f>'d3'!J91-I129</f>
        <v>70107</v>
      </c>
      <c r="J128" s="429">
        <f>'d3'!K91-J129</f>
        <v>70107</v>
      </c>
    </row>
    <row r="129" spans="1:13" s="298" customFormat="1" ht="230.25" thickTop="1" thickBot="1" x14ac:dyDescent="0.25">
      <c r="A129" s="300" t="s">
        <v>430</v>
      </c>
      <c r="B129" s="300" t="s">
        <v>431</v>
      </c>
      <c r="C129" s="300" t="s">
        <v>232</v>
      </c>
      <c r="D129" s="300" t="s">
        <v>432</v>
      </c>
      <c r="E129" s="260" t="s">
        <v>602</v>
      </c>
      <c r="F129" s="307" t="s">
        <v>603</v>
      </c>
      <c r="G129" s="299">
        <f>H129+I129</f>
        <v>108629</v>
      </c>
      <c r="H129" s="261">
        <f>108629</f>
        <v>108629</v>
      </c>
      <c r="I129" s="299">
        <v>0</v>
      </c>
      <c r="J129" s="299">
        <v>0</v>
      </c>
    </row>
    <row r="130" spans="1:13" ht="230.25" thickTop="1" thickBot="1" x14ac:dyDescent="0.25">
      <c r="A130" s="300" t="s">
        <v>56</v>
      </c>
      <c r="B130" s="300" t="s">
        <v>234</v>
      </c>
      <c r="C130" s="300" t="s">
        <v>243</v>
      </c>
      <c r="D130" s="300" t="s">
        <v>57</v>
      </c>
      <c r="E130" s="260" t="s">
        <v>770</v>
      </c>
      <c r="F130" s="299" t="s">
        <v>509</v>
      </c>
      <c r="G130" s="429">
        <f t="shared" si="18"/>
        <v>10000000</v>
      </c>
      <c r="H130" s="429">
        <f>'d3'!E92</f>
        <v>10000000</v>
      </c>
      <c r="I130" s="437">
        <f>'d3'!J92</f>
        <v>0</v>
      </c>
      <c r="J130" s="429">
        <f>'d3'!K92</f>
        <v>0</v>
      </c>
    </row>
    <row r="131" spans="1:13" ht="230.25" thickTop="1" thickBot="1" x14ac:dyDescent="0.25">
      <c r="A131" s="300" t="s">
        <v>58</v>
      </c>
      <c r="B131" s="300" t="s">
        <v>235</v>
      </c>
      <c r="C131" s="300" t="s">
        <v>243</v>
      </c>
      <c r="D131" s="300" t="s">
        <v>5</v>
      </c>
      <c r="E131" s="260" t="s">
        <v>770</v>
      </c>
      <c r="F131" s="299" t="s">
        <v>509</v>
      </c>
      <c r="G131" s="429">
        <f t="shared" si="18"/>
        <v>1779668</v>
      </c>
      <c r="H131" s="429">
        <f>'d3'!E93</f>
        <v>1779668</v>
      </c>
      <c r="I131" s="437">
        <f>'d3'!J93</f>
        <v>0</v>
      </c>
      <c r="J131" s="429">
        <f>'d3'!K93</f>
        <v>0</v>
      </c>
    </row>
    <row r="132" spans="1:13" ht="230.25" thickTop="1" thickBot="1" x14ac:dyDescent="0.25">
      <c r="A132" s="300" t="s">
        <v>59</v>
      </c>
      <c r="B132" s="300" t="s">
        <v>236</v>
      </c>
      <c r="C132" s="300" t="s">
        <v>243</v>
      </c>
      <c r="D132" s="300" t="s">
        <v>427</v>
      </c>
      <c r="E132" s="260" t="s">
        <v>770</v>
      </c>
      <c r="F132" s="299" t="s">
        <v>509</v>
      </c>
      <c r="G132" s="429">
        <f t="shared" ref="G132:G133" si="19">H132+I132</f>
        <v>56195</v>
      </c>
      <c r="H132" s="429">
        <f>'d3'!E94</f>
        <v>56195</v>
      </c>
      <c r="I132" s="437">
        <f>'d3'!J94</f>
        <v>0</v>
      </c>
      <c r="J132" s="429">
        <f>'d3'!K94</f>
        <v>0</v>
      </c>
    </row>
    <row r="133" spans="1:13" ht="230.25" thickTop="1" thickBot="1" x14ac:dyDescent="0.25">
      <c r="A133" s="431" t="s">
        <v>35</v>
      </c>
      <c r="B133" s="431" t="s">
        <v>240</v>
      </c>
      <c r="C133" s="431" t="s">
        <v>243</v>
      </c>
      <c r="D133" s="431" t="s">
        <v>60</v>
      </c>
      <c r="E133" s="260" t="s">
        <v>770</v>
      </c>
      <c r="F133" s="429" t="s">
        <v>509</v>
      </c>
      <c r="G133" s="429">
        <f t="shared" si="19"/>
        <v>28116241</v>
      </c>
      <c r="H133" s="429">
        <f>'d3'!E95-H134</f>
        <v>22620822</v>
      </c>
      <c r="I133" s="437">
        <f>'d3'!J95-I134</f>
        <v>5495419</v>
      </c>
      <c r="J133" s="429">
        <f>'d3'!K95-J134</f>
        <v>3724615</v>
      </c>
    </row>
    <row r="134" spans="1:13" s="298" customFormat="1" ht="230.25" thickTop="1" thickBot="1" x14ac:dyDescent="0.25">
      <c r="A134" s="431" t="s">
        <v>35</v>
      </c>
      <c r="B134" s="431" t="s">
        <v>240</v>
      </c>
      <c r="C134" s="431" t="s">
        <v>243</v>
      </c>
      <c r="D134" s="431" t="s">
        <v>60</v>
      </c>
      <c r="E134" s="260" t="s">
        <v>602</v>
      </c>
      <c r="F134" s="307" t="s">
        <v>603</v>
      </c>
      <c r="G134" s="429">
        <f>H134+I134</f>
        <v>130250</v>
      </c>
      <c r="H134" s="436">
        <f>55800</f>
        <v>55800</v>
      </c>
      <c r="I134" s="429">
        <f>74450</f>
        <v>74450</v>
      </c>
      <c r="J134" s="429">
        <f>74450</f>
        <v>74450</v>
      </c>
    </row>
    <row r="135" spans="1:13" ht="230.25" thickTop="1" thickBot="1" x14ac:dyDescent="0.25">
      <c r="A135" s="300" t="s">
        <v>36</v>
      </c>
      <c r="B135" s="300" t="s">
        <v>241</v>
      </c>
      <c r="C135" s="300" t="s">
        <v>243</v>
      </c>
      <c r="D135" s="300" t="s">
        <v>61</v>
      </c>
      <c r="E135" s="260" t="s">
        <v>770</v>
      </c>
      <c r="F135" s="299" t="s">
        <v>509</v>
      </c>
      <c r="G135" s="429">
        <f t="shared" ref="G135" si="20">H135+I135</f>
        <v>6536800</v>
      </c>
      <c r="H135" s="429">
        <f>'d3'!E96</f>
        <v>6068200</v>
      </c>
      <c r="I135" s="437">
        <f>'d3'!J96</f>
        <v>468600</v>
      </c>
      <c r="J135" s="429">
        <f>'d3'!K96</f>
        <v>468600</v>
      </c>
    </row>
    <row r="136" spans="1:13" ht="276" thickTop="1" thickBot="1" x14ac:dyDescent="0.25">
      <c r="A136" s="281" t="s">
        <v>37</v>
      </c>
      <c r="B136" s="281" t="s">
        <v>242</v>
      </c>
      <c r="C136" s="281" t="s">
        <v>243</v>
      </c>
      <c r="D136" s="300" t="s">
        <v>38</v>
      </c>
      <c r="E136" s="260" t="s">
        <v>770</v>
      </c>
      <c r="F136" s="299" t="s">
        <v>509</v>
      </c>
      <c r="G136" s="429">
        <f t="shared" ref="G136:G137" si="21">H136+I136</f>
        <v>1443547</v>
      </c>
      <c r="H136" s="429">
        <f>'d3'!E97</f>
        <v>1443547</v>
      </c>
      <c r="I136" s="437">
        <f>'d3'!J97</f>
        <v>0</v>
      </c>
      <c r="J136" s="429">
        <f>'d3'!K97</f>
        <v>0</v>
      </c>
    </row>
    <row r="137" spans="1:13" s="298" customFormat="1" ht="230.25" thickTop="1" thickBot="1" x14ac:dyDescent="0.25">
      <c r="A137" s="281" t="s">
        <v>732</v>
      </c>
      <c r="B137" s="281" t="s">
        <v>730</v>
      </c>
      <c r="C137" s="281" t="s">
        <v>243</v>
      </c>
      <c r="D137" s="300" t="s">
        <v>731</v>
      </c>
      <c r="E137" s="260" t="s">
        <v>770</v>
      </c>
      <c r="F137" s="299" t="s">
        <v>509</v>
      </c>
      <c r="G137" s="429">
        <f t="shared" si="21"/>
        <v>0</v>
      </c>
      <c r="H137" s="429">
        <f>'d3'!E98</f>
        <v>0</v>
      </c>
      <c r="I137" s="437">
        <f>'d3'!J98</f>
        <v>0</v>
      </c>
      <c r="J137" s="437">
        <f>'d3'!K98</f>
        <v>0</v>
      </c>
    </row>
    <row r="138" spans="1:13" ht="230.25" thickTop="1" thickBot="1" x14ac:dyDescent="0.25">
      <c r="A138" s="281" t="s">
        <v>39</v>
      </c>
      <c r="B138" s="281" t="s">
        <v>244</v>
      </c>
      <c r="C138" s="281" t="s">
        <v>243</v>
      </c>
      <c r="D138" s="300" t="s">
        <v>40</v>
      </c>
      <c r="E138" s="260" t="s">
        <v>770</v>
      </c>
      <c r="F138" s="299" t="s">
        <v>509</v>
      </c>
      <c r="G138" s="429">
        <f t="shared" ref="G138" si="22">H138+I138</f>
        <v>1522890</v>
      </c>
      <c r="H138" s="429">
        <f>'d3'!E99</f>
        <v>1522890</v>
      </c>
      <c r="I138" s="437">
        <f>'d3'!J99</f>
        <v>0</v>
      </c>
      <c r="J138" s="429">
        <f>'d3'!K99</f>
        <v>0</v>
      </c>
    </row>
    <row r="139" spans="1:13" ht="276" thickTop="1" thickBot="1" x14ac:dyDescent="0.25">
      <c r="A139" s="281" t="s">
        <v>418</v>
      </c>
      <c r="B139" s="281" t="s">
        <v>417</v>
      </c>
      <c r="C139" s="281" t="s">
        <v>416</v>
      </c>
      <c r="D139" s="300" t="s">
        <v>415</v>
      </c>
      <c r="E139" s="260" t="s">
        <v>770</v>
      </c>
      <c r="F139" s="299" t="s">
        <v>509</v>
      </c>
      <c r="G139" s="429">
        <f t="shared" ref="G139:G142" si="23">H139+I139</f>
        <v>19211</v>
      </c>
      <c r="H139" s="429">
        <f>'d3'!E100</f>
        <v>19211</v>
      </c>
      <c r="I139" s="437">
        <f>'d3'!J100</f>
        <v>0</v>
      </c>
      <c r="J139" s="437">
        <f>'d3'!K100</f>
        <v>0</v>
      </c>
    </row>
    <row r="140" spans="1:13" ht="230.25" thickTop="1" thickBot="1" x14ac:dyDescent="0.25">
      <c r="A140" s="281" t="s">
        <v>615</v>
      </c>
      <c r="B140" s="281" t="s">
        <v>618</v>
      </c>
      <c r="C140" s="281" t="s">
        <v>62</v>
      </c>
      <c r="D140" s="300" t="s">
        <v>614</v>
      </c>
      <c r="E140" s="260" t="s">
        <v>770</v>
      </c>
      <c r="F140" s="299" t="s">
        <v>509</v>
      </c>
      <c r="G140" s="429">
        <f t="shared" si="23"/>
        <v>320170.42000000004</v>
      </c>
      <c r="H140" s="429">
        <f>'d4'!F14</f>
        <v>0</v>
      </c>
      <c r="I140" s="437">
        <f>'d4'!G14</f>
        <v>320170.42000000004</v>
      </c>
      <c r="J140" s="429">
        <f>'d4'!H14</f>
        <v>0</v>
      </c>
    </row>
    <row r="141" spans="1:13" ht="93" hidden="1" thickTop="1" thickBot="1" x14ac:dyDescent="0.25">
      <c r="A141" s="262" t="s">
        <v>466</v>
      </c>
      <c r="B141" s="262" t="s">
        <v>446</v>
      </c>
      <c r="C141" s="262" t="s">
        <v>55</v>
      </c>
      <c r="D141" s="262" t="s">
        <v>447</v>
      </c>
      <c r="E141" s="264"/>
      <c r="F141" s="265"/>
      <c r="G141" s="265"/>
      <c r="H141" s="265"/>
      <c r="I141" s="266"/>
      <c r="J141" s="263"/>
    </row>
    <row r="142" spans="1:13" s="298" customFormat="1" ht="230.25" thickTop="1" thickBot="1" x14ac:dyDescent="0.25">
      <c r="A142" s="300" t="s">
        <v>466</v>
      </c>
      <c r="B142" s="300" t="s">
        <v>446</v>
      </c>
      <c r="C142" s="300" t="s">
        <v>55</v>
      </c>
      <c r="D142" s="300" t="s">
        <v>447</v>
      </c>
      <c r="E142" s="260" t="s">
        <v>770</v>
      </c>
      <c r="F142" s="299" t="s">
        <v>509</v>
      </c>
      <c r="G142" s="299">
        <f t="shared" si="23"/>
        <v>200000</v>
      </c>
      <c r="H142" s="261">
        <f>'d3'!E101</f>
        <v>0</v>
      </c>
      <c r="I142" s="308">
        <f>'d3'!J101</f>
        <v>200000</v>
      </c>
      <c r="J142" s="308">
        <f>'d3'!K101</f>
        <v>200000</v>
      </c>
    </row>
    <row r="143" spans="1:13" ht="181.5" thickTop="1" thickBot="1" x14ac:dyDescent="0.25">
      <c r="A143" s="413" t="s">
        <v>200</v>
      </c>
      <c r="B143" s="413"/>
      <c r="C143" s="413"/>
      <c r="D143" s="414" t="s">
        <v>28</v>
      </c>
      <c r="E143" s="415"/>
      <c r="F143" s="416"/>
      <c r="G143" s="416">
        <f>G144</f>
        <v>397644462.29000002</v>
      </c>
      <c r="H143" s="416">
        <f t="shared" ref="H143:J143" si="24">H144</f>
        <v>254064315</v>
      </c>
      <c r="I143" s="415">
        <f t="shared" si="24"/>
        <v>143580147.29000002</v>
      </c>
      <c r="J143" s="415">
        <f t="shared" si="24"/>
        <v>143354868.59</v>
      </c>
      <c r="K143" s="154" t="b">
        <f>H143='d3'!E102-'d3'!E104+H145</f>
        <v>1</v>
      </c>
      <c r="L143" s="136" t="b">
        <f>I143='d3'!J103-'d3'!J104+I145</f>
        <v>1</v>
      </c>
      <c r="M143" s="136" t="b">
        <f>J143='d3'!K103-'d3'!K104+J145</f>
        <v>1</v>
      </c>
    </row>
    <row r="144" spans="1:13" ht="181.5" thickTop="1" thickBot="1" x14ac:dyDescent="0.25">
      <c r="A144" s="417" t="s">
        <v>201</v>
      </c>
      <c r="B144" s="417"/>
      <c r="C144" s="417"/>
      <c r="D144" s="418" t="s">
        <v>49</v>
      </c>
      <c r="E144" s="419"/>
      <c r="F144" s="420"/>
      <c r="G144" s="420">
        <f>SUM(G145:G173)</f>
        <v>397644462.29000002</v>
      </c>
      <c r="H144" s="420">
        <f>SUM(H145:H173)</f>
        <v>254064315</v>
      </c>
      <c r="I144" s="420">
        <f>SUM(I145:I173)</f>
        <v>143580147.29000002</v>
      </c>
      <c r="J144" s="420">
        <f>SUM(J145:J173)</f>
        <v>143354868.59</v>
      </c>
    </row>
    <row r="145" spans="1:10" ht="321.75" thickTop="1" thickBot="1" x14ac:dyDescent="0.25">
      <c r="A145" s="289" t="s">
        <v>525</v>
      </c>
      <c r="B145" s="289" t="s">
        <v>288</v>
      </c>
      <c r="C145" s="289" t="s">
        <v>286</v>
      </c>
      <c r="D145" s="289" t="s">
        <v>283</v>
      </c>
      <c r="E145" s="260" t="s">
        <v>528</v>
      </c>
      <c r="F145" s="291" t="s">
        <v>527</v>
      </c>
      <c r="G145" s="261">
        <f t="shared" ref="G145" si="25">H145+I145</f>
        <v>177000</v>
      </c>
      <c r="H145" s="291">
        <v>160000</v>
      </c>
      <c r="I145" s="291">
        <v>17000</v>
      </c>
      <c r="J145" s="291">
        <v>17000</v>
      </c>
    </row>
    <row r="146" spans="1:10" s="283" customFormat="1" ht="230.25" thickTop="1" thickBot="1" x14ac:dyDescent="0.25">
      <c r="A146" s="311" t="s">
        <v>555</v>
      </c>
      <c r="B146" s="311" t="s">
        <v>55</v>
      </c>
      <c r="C146" s="311" t="s">
        <v>54</v>
      </c>
      <c r="D146" s="311" t="s">
        <v>300</v>
      </c>
      <c r="E146" s="261" t="s">
        <v>518</v>
      </c>
      <c r="F146" s="261" t="s">
        <v>519</v>
      </c>
      <c r="G146" s="261">
        <f t="shared" ref="G146" si="26">H146+I146</f>
        <v>150000</v>
      </c>
      <c r="H146" s="310">
        <f>'d3'!E105</f>
        <v>150000</v>
      </c>
      <c r="I146" s="310">
        <f>'d3'!J105</f>
        <v>0</v>
      </c>
      <c r="J146" s="310">
        <f>'d3'!K105</f>
        <v>0</v>
      </c>
    </row>
    <row r="147" spans="1:10" ht="230.25" thickTop="1" thickBot="1" x14ac:dyDescent="0.25">
      <c r="A147" s="528" t="s">
        <v>333</v>
      </c>
      <c r="B147" s="528" t="s">
        <v>334</v>
      </c>
      <c r="C147" s="528" t="s">
        <v>416</v>
      </c>
      <c r="D147" s="528" t="s">
        <v>335</v>
      </c>
      <c r="E147" s="261" t="s">
        <v>518</v>
      </c>
      <c r="F147" s="261" t="s">
        <v>519</v>
      </c>
      <c r="G147" s="595">
        <f>H147+I147</f>
        <v>7397900</v>
      </c>
      <c r="H147" s="595">
        <f>'d3'!E106-H148</f>
        <v>1976700</v>
      </c>
      <c r="I147" s="601">
        <f>'d3'!J106-I148</f>
        <v>5421200</v>
      </c>
      <c r="J147" s="513">
        <f>'d3'!K106-J148</f>
        <v>5421200</v>
      </c>
    </row>
    <row r="148" spans="1:10" ht="3.75" customHeight="1" thickTop="1" thickBot="1" x14ac:dyDescent="0.25">
      <c r="A148" s="528"/>
      <c r="B148" s="528"/>
      <c r="C148" s="528"/>
      <c r="D148" s="528"/>
      <c r="E148" s="307"/>
      <c r="F148" s="307"/>
      <c r="G148" s="595"/>
      <c r="H148" s="595"/>
      <c r="I148" s="601"/>
      <c r="J148" s="513"/>
    </row>
    <row r="149" spans="1:10" ht="230.25" thickTop="1" thickBot="1" x14ac:dyDescent="0.25">
      <c r="A149" s="528"/>
      <c r="B149" s="528"/>
      <c r="C149" s="528"/>
      <c r="D149" s="528"/>
      <c r="E149" s="307" t="s">
        <v>573</v>
      </c>
      <c r="F149" s="307" t="s">
        <v>697</v>
      </c>
      <c r="G149" s="595"/>
      <c r="H149" s="595"/>
      <c r="I149" s="601"/>
      <c r="J149" s="513"/>
    </row>
    <row r="150" spans="1:10" s="467" customFormat="1" ht="230.25" thickTop="1" thickBot="1" x14ac:dyDescent="0.25">
      <c r="A150" s="528"/>
      <c r="B150" s="528"/>
      <c r="C150" s="528"/>
      <c r="D150" s="528"/>
      <c r="E150" s="307" t="s">
        <v>914</v>
      </c>
      <c r="F150" s="307"/>
      <c r="G150" s="595"/>
      <c r="H150" s="595"/>
      <c r="I150" s="601"/>
      <c r="J150" s="513"/>
    </row>
    <row r="151" spans="1:10" ht="230.25" thickTop="1" thickBot="1" x14ac:dyDescent="0.25">
      <c r="A151" s="528"/>
      <c r="B151" s="528"/>
      <c r="C151" s="528"/>
      <c r="D151" s="528"/>
      <c r="E151" s="307" t="s">
        <v>574</v>
      </c>
      <c r="F151" s="307" t="s">
        <v>698</v>
      </c>
      <c r="G151" s="595"/>
      <c r="H151" s="595"/>
      <c r="I151" s="601"/>
      <c r="J151" s="513"/>
    </row>
    <row r="152" spans="1:10" ht="230.25" thickTop="1" thickBot="1" x14ac:dyDescent="0.25">
      <c r="A152" s="311" t="s">
        <v>467</v>
      </c>
      <c r="B152" s="311" t="s">
        <v>468</v>
      </c>
      <c r="C152" s="311" t="s">
        <v>336</v>
      </c>
      <c r="D152" s="311" t="s">
        <v>469</v>
      </c>
      <c r="E152" s="261" t="s">
        <v>518</v>
      </c>
      <c r="F152" s="307" t="s">
        <v>519</v>
      </c>
      <c r="G152" s="261">
        <f t="shared" ref="G152:G165" si="27">H152+I152</f>
        <v>27000000</v>
      </c>
      <c r="H152" s="261">
        <f>'d3'!E107</f>
        <v>27000000</v>
      </c>
      <c r="I152" s="308">
        <f>'d3'!J107</f>
        <v>0</v>
      </c>
      <c r="J152" s="310">
        <f>'d3'!K107</f>
        <v>0</v>
      </c>
    </row>
    <row r="153" spans="1:10" ht="230.25" thickTop="1" thickBot="1" x14ac:dyDescent="0.25">
      <c r="A153" s="311" t="s">
        <v>339</v>
      </c>
      <c r="B153" s="311" t="s">
        <v>340</v>
      </c>
      <c r="C153" s="311" t="s">
        <v>336</v>
      </c>
      <c r="D153" s="311" t="s">
        <v>341</v>
      </c>
      <c r="E153" s="261" t="s">
        <v>518</v>
      </c>
      <c r="F153" s="307" t="s">
        <v>519</v>
      </c>
      <c r="G153" s="261">
        <f t="shared" si="27"/>
        <v>9595480</v>
      </c>
      <c r="H153" s="261">
        <f>'d3'!E108</f>
        <v>9595480</v>
      </c>
      <c r="I153" s="308">
        <f>'d3'!J108</f>
        <v>0</v>
      </c>
      <c r="J153" s="310">
        <f>'d3'!K108</f>
        <v>0</v>
      </c>
    </row>
    <row r="154" spans="1:10" ht="230.25" thickTop="1" thickBot="1" x14ac:dyDescent="0.25">
      <c r="A154" s="311" t="s">
        <v>358</v>
      </c>
      <c r="B154" s="311" t="s">
        <v>359</v>
      </c>
      <c r="C154" s="311" t="s">
        <v>336</v>
      </c>
      <c r="D154" s="311" t="s">
        <v>360</v>
      </c>
      <c r="E154" s="261" t="s">
        <v>518</v>
      </c>
      <c r="F154" s="307" t="s">
        <v>519</v>
      </c>
      <c r="G154" s="261">
        <f t="shared" si="27"/>
        <v>9235016</v>
      </c>
      <c r="H154" s="261">
        <f>'d3'!E109</f>
        <v>0</v>
      </c>
      <c r="I154" s="308">
        <f>'d3'!J109</f>
        <v>9235016</v>
      </c>
      <c r="J154" s="310">
        <f>'d3'!K109</f>
        <v>9235016</v>
      </c>
    </row>
    <row r="155" spans="1:10" ht="230.25" thickTop="1" thickBot="1" x14ac:dyDescent="0.25">
      <c r="A155" s="311" t="s">
        <v>337</v>
      </c>
      <c r="B155" s="311" t="s">
        <v>338</v>
      </c>
      <c r="C155" s="311" t="s">
        <v>336</v>
      </c>
      <c r="D155" s="311" t="s">
        <v>636</v>
      </c>
      <c r="E155" s="261" t="s">
        <v>518</v>
      </c>
      <c r="F155" s="307" t="s">
        <v>519</v>
      </c>
      <c r="G155" s="261">
        <f t="shared" si="27"/>
        <v>18000000</v>
      </c>
      <c r="H155" s="261">
        <f>'d3'!E110-H156</f>
        <v>500000</v>
      </c>
      <c r="I155" s="308">
        <f>'d3'!J110-I156</f>
        <v>17500000</v>
      </c>
      <c r="J155" s="310">
        <f>'d3'!K110-J156</f>
        <v>17500000</v>
      </c>
    </row>
    <row r="156" spans="1:10" s="309" customFormat="1" ht="230.25" thickTop="1" thickBot="1" x14ac:dyDescent="0.25">
      <c r="A156" s="311" t="s">
        <v>337</v>
      </c>
      <c r="B156" s="311" t="s">
        <v>338</v>
      </c>
      <c r="C156" s="311" t="s">
        <v>336</v>
      </c>
      <c r="D156" s="311" t="s">
        <v>636</v>
      </c>
      <c r="E156" s="260" t="s">
        <v>602</v>
      </c>
      <c r="F156" s="307" t="s">
        <v>603</v>
      </c>
      <c r="G156" s="310">
        <f>H156+I156</f>
        <v>472317</v>
      </c>
      <c r="H156" s="261">
        <v>0</v>
      </c>
      <c r="I156" s="310">
        <f>472317</f>
        <v>472317</v>
      </c>
      <c r="J156" s="323">
        <f>472317</f>
        <v>472317</v>
      </c>
    </row>
    <row r="157" spans="1:10" ht="230.25" thickTop="1" thickBot="1" x14ac:dyDescent="0.25">
      <c r="A157" s="311" t="s">
        <v>353</v>
      </c>
      <c r="B157" s="311" t="s">
        <v>354</v>
      </c>
      <c r="C157" s="311" t="s">
        <v>336</v>
      </c>
      <c r="D157" s="311" t="s">
        <v>355</v>
      </c>
      <c r="E157" s="261" t="s">
        <v>518</v>
      </c>
      <c r="F157" s="307" t="s">
        <v>519</v>
      </c>
      <c r="G157" s="261">
        <f t="shared" si="27"/>
        <v>6600000</v>
      </c>
      <c r="H157" s="261">
        <f>'d3'!E111</f>
        <v>6600000</v>
      </c>
      <c r="I157" s="308">
        <f>'d3'!J111</f>
        <v>0</v>
      </c>
      <c r="J157" s="310">
        <f>'d3'!K111</f>
        <v>0</v>
      </c>
    </row>
    <row r="158" spans="1:10" ht="194.25" customHeight="1" thickTop="1" thickBot="1" x14ac:dyDescent="0.25">
      <c r="A158" s="528" t="s">
        <v>342</v>
      </c>
      <c r="B158" s="528" t="s">
        <v>343</v>
      </c>
      <c r="C158" s="528" t="s">
        <v>336</v>
      </c>
      <c r="D158" s="528" t="s">
        <v>344</v>
      </c>
      <c r="E158" s="261" t="s">
        <v>518</v>
      </c>
      <c r="F158" s="307" t="s">
        <v>519</v>
      </c>
      <c r="G158" s="595">
        <f t="shared" si="27"/>
        <v>168717178</v>
      </c>
      <c r="H158" s="595">
        <f>'d3'!E112-H160</f>
        <v>156483951</v>
      </c>
      <c r="I158" s="595">
        <f>'d3'!J112-I160</f>
        <v>12233227</v>
      </c>
      <c r="J158" s="595">
        <f>'d3'!K112-J160</f>
        <v>12233227</v>
      </c>
    </row>
    <row r="159" spans="1:10" ht="230.25" thickTop="1" thickBot="1" x14ac:dyDescent="0.25">
      <c r="A159" s="596"/>
      <c r="B159" s="596"/>
      <c r="C159" s="596"/>
      <c r="D159" s="596"/>
      <c r="E159" s="261" t="s">
        <v>574</v>
      </c>
      <c r="F159" s="307" t="s">
        <v>699</v>
      </c>
      <c r="G159" s="596"/>
      <c r="H159" s="596"/>
      <c r="I159" s="596"/>
      <c r="J159" s="596"/>
    </row>
    <row r="160" spans="1:10" s="309" customFormat="1" ht="230.25" thickTop="1" thickBot="1" x14ac:dyDescent="0.25">
      <c r="A160" s="311">
        <v>1216030</v>
      </c>
      <c r="B160" s="311">
        <v>6030</v>
      </c>
      <c r="C160" s="311" t="s">
        <v>336</v>
      </c>
      <c r="D160" s="311" t="s">
        <v>344</v>
      </c>
      <c r="E160" s="260" t="s">
        <v>602</v>
      </c>
      <c r="F160" s="307" t="s">
        <v>603</v>
      </c>
      <c r="G160" s="310">
        <f>H160+I160</f>
        <v>97230</v>
      </c>
      <c r="H160" s="261">
        <f>97230</f>
        <v>97230</v>
      </c>
      <c r="I160" s="310">
        <v>0</v>
      </c>
      <c r="J160" s="310">
        <v>0</v>
      </c>
    </row>
    <row r="161" spans="1:13" ht="230.25" thickTop="1" thickBot="1" x14ac:dyDescent="0.25">
      <c r="A161" s="311" t="s">
        <v>362</v>
      </c>
      <c r="B161" s="311" t="s">
        <v>363</v>
      </c>
      <c r="C161" s="311" t="s">
        <v>361</v>
      </c>
      <c r="D161" s="311" t="s">
        <v>640</v>
      </c>
      <c r="E161" s="261" t="s">
        <v>518</v>
      </c>
      <c r="F161" s="307" t="s">
        <v>519</v>
      </c>
      <c r="G161" s="261">
        <f t="shared" si="27"/>
        <v>9338415</v>
      </c>
      <c r="H161" s="261">
        <f>'d3'!E113</f>
        <v>0</v>
      </c>
      <c r="I161" s="308">
        <f>'d3'!J113</f>
        <v>9338415</v>
      </c>
      <c r="J161" s="310">
        <f>'d3'!K113</f>
        <v>9338415</v>
      </c>
    </row>
    <row r="162" spans="1:13" ht="230.25" thickTop="1" thickBot="1" x14ac:dyDescent="0.25">
      <c r="A162" s="311" t="s">
        <v>561</v>
      </c>
      <c r="B162" s="311" t="s">
        <v>429</v>
      </c>
      <c r="C162" s="311" t="s">
        <v>212</v>
      </c>
      <c r="D162" s="311" t="s">
        <v>315</v>
      </c>
      <c r="E162" s="261" t="s">
        <v>518</v>
      </c>
      <c r="F162" s="307" t="s">
        <v>519</v>
      </c>
      <c r="G162" s="261">
        <f t="shared" si="27"/>
        <v>604023.59000000008</v>
      </c>
      <c r="H162" s="261">
        <f>'d3'!E114</f>
        <v>0</v>
      </c>
      <c r="I162" s="308">
        <f>'d3'!J114</f>
        <v>604023.59000000008</v>
      </c>
      <c r="J162" s="310">
        <f>'d3'!K114</f>
        <v>604023.59000000008</v>
      </c>
    </row>
    <row r="163" spans="1:13" ht="230.25" thickTop="1" thickBot="1" x14ac:dyDescent="0.25">
      <c r="A163" s="311" t="s">
        <v>348</v>
      </c>
      <c r="B163" s="311" t="s">
        <v>349</v>
      </c>
      <c r="C163" s="311" t="s">
        <v>351</v>
      </c>
      <c r="D163" s="311" t="s">
        <v>350</v>
      </c>
      <c r="E163" s="261" t="s">
        <v>518</v>
      </c>
      <c r="F163" s="307" t="s">
        <v>519</v>
      </c>
      <c r="G163" s="261">
        <f t="shared" si="27"/>
        <v>98710512.700000003</v>
      </c>
      <c r="H163" s="261">
        <f>'d3'!E115</f>
        <v>49107900</v>
      </c>
      <c r="I163" s="308">
        <f>'d3'!J115</f>
        <v>49602612.700000003</v>
      </c>
      <c r="J163" s="310">
        <f>'d3'!K115</f>
        <v>49583234</v>
      </c>
    </row>
    <row r="164" spans="1:13" ht="409.6" thickTop="1" thickBot="1" x14ac:dyDescent="0.25">
      <c r="A164" s="311" t="s">
        <v>352</v>
      </c>
      <c r="B164" s="311" t="s">
        <v>264</v>
      </c>
      <c r="C164" s="311" t="s">
        <v>265</v>
      </c>
      <c r="D164" s="311" t="s">
        <v>53</v>
      </c>
      <c r="E164" s="286" t="s">
        <v>578</v>
      </c>
      <c r="F164" s="286" t="s">
        <v>659</v>
      </c>
      <c r="G164" s="261">
        <f t="shared" si="27"/>
        <v>8244000</v>
      </c>
      <c r="H164" s="261">
        <f>550000+300000</f>
        <v>850000</v>
      </c>
      <c r="I164" s="261">
        <f>7000000+394000</f>
        <v>7394000</v>
      </c>
      <c r="J164" s="261">
        <f>7000000+394000</f>
        <v>7394000</v>
      </c>
    </row>
    <row r="165" spans="1:13" s="329" customFormat="1" ht="230.25" thickTop="1" thickBot="1" x14ac:dyDescent="0.25">
      <c r="A165" s="330" t="s">
        <v>352</v>
      </c>
      <c r="B165" s="330" t="s">
        <v>264</v>
      </c>
      <c r="C165" s="330" t="s">
        <v>265</v>
      </c>
      <c r="D165" s="330" t="s">
        <v>53</v>
      </c>
      <c r="E165" s="331" t="s">
        <v>518</v>
      </c>
      <c r="F165" s="334" t="s">
        <v>519</v>
      </c>
      <c r="G165" s="331">
        <f t="shared" si="27"/>
        <v>18044000</v>
      </c>
      <c r="H165" s="331"/>
      <c r="I165" s="331">
        <v>18044000</v>
      </c>
      <c r="J165" s="331">
        <v>18044000</v>
      </c>
    </row>
    <row r="166" spans="1:13" ht="276" thickTop="1" thickBot="1" x14ac:dyDescent="0.25">
      <c r="A166" s="311" t="s">
        <v>352</v>
      </c>
      <c r="B166" s="311" t="s">
        <v>264</v>
      </c>
      <c r="C166" s="311" t="s">
        <v>265</v>
      </c>
      <c r="D166" s="311" t="s">
        <v>53</v>
      </c>
      <c r="E166" s="307" t="s">
        <v>660</v>
      </c>
      <c r="F166" s="307" t="s">
        <v>661</v>
      </c>
      <c r="G166" s="261">
        <f t="shared" ref="G166:G167" si="28">H166+I166</f>
        <v>250000</v>
      </c>
      <c r="H166" s="316"/>
      <c r="I166" s="261">
        <f>250000</f>
        <v>250000</v>
      </c>
      <c r="J166" s="261">
        <f>250000</f>
        <v>250000</v>
      </c>
    </row>
    <row r="167" spans="1:13" s="309" customFormat="1" ht="230.25" hidden="1" thickTop="1" thickBot="1" x14ac:dyDescent="0.25">
      <c r="A167" s="311" t="s">
        <v>352</v>
      </c>
      <c r="B167" s="311" t="s">
        <v>264</v>
      </c>
      <c r="C167" s="311" t="s">
        <v>265</v>
      </c>
      <c r="D167" s="311" t="s">
        <v>53</v>
      </c>
      <c r="E167" s="261" t="s">
        <v>518</v>
      </c>
      <c r="F167" s="307" t="s">
        <v>519</v>
      </c>
      <c r="G167" s="261">
        <f t="shared" si="28"/>
        <v>0</v>
      </c>
      <c r="H167" s="316"/>
      <c r="I167" s="261"/>
      <c r="J167" s="261"/>
    </row>
    <row r="168" spans="1:13" ht="230.25" thickTop="1" thickBot="1" x14ac:dyDescent="0.25">
      <c r="A168" s="604" t="s">
        <v>364</v>
      </c>
      <c r="B168" s="604" t="s">
        <v>245</v>
      </c>
      <c r="C168" s="604" t="s">
        <v>212</v>
      </c>
      <c r="D168" s="604" t="s">
        <v>43</v>
      </c>
      <c r="E168" s="261" t="s">
        <v>518</v>
      </c>
      <c r="F168" s="307" t="s">
        <v>581</v>
      </c>
      <c r="G168" s="602">
        <f>H168+I168</f>
        <v>13214436</v>
      </c>
      <c r="H168" s="595">
        <f>'d3'!E117</f>
        <v>0</v>
      </c>
      <c r="I168" s="601">
        <f>'d3'!J117</f>
        <v>13214436</v>
      </c>
      <c r="J168" s="513">
        <f>'d3'!K117</f>
        <v>13214436</v>
      </c>
    </row>
    <row r="169" spans="1:13" s="159" customFormat="1" ht="230.25" thickTop="1" thickBot="1" x14ac:dyDescent="0.25">
      <c r="A169" s="605"/>
      <c r="B169" s="605"/>
      <c r="C169" s="605"/>
      <c r="D169" s="607"/>
      <c r="E169" s="261" t="s">
        <v>700</v>
      </c>
      <c r="F169" s="307" t="s">
        <v>701</v>
      </c>
      <c r="G169" s="603"/>
      <c r="H169" s="595"/>
      <c r="I169" s="601"/>
      <c r="J169" s="513"/>
    </row>
    <row r="170" spans="1:13" s="302" customFormat="1" ht="409.6" thickTop="1" thickBot="1" x14ac:dyDescent="0.7">
      <c r="A170" s="528" t="s">
        <v>531</v>
      </c>
      <c r="B170" s="528" t="s">
        <v>413</v>
      </c>
      <c r="C170" s="528" t="s">
        <v>212</v>
      </c>
      <c r="D170" s="290" t="s">
        <v>588</v>
      </c>
      <c r="E170" s="606" t="s">
        <v>734</v>
      </c>
      <c r="F170" s="606" t="s">
        <v>735</v>
      </c>
      <c r="G170" s="529">
        <f>H170+I170</f>
        <v>205900</v>
      </c>
      <c r="H170" s="529">
        <f>'d3'!E118</f>
        <v>0</v>
      </c>
      <c r="I170" s="529">
        <f>'d3'!J118</f>
        <v>205900</v>
      </c>
      <c r="J170" s="529">
        <f>'d3'!K118</f>
        <v>0</v>
      </c>
    </row>
    <row r="171" spans="1:13" s="302" customFormat="1" ht="184.5" thickTop="1" thickBot="1" x14ac:dyDescent="0.25">
      <c r="A171" s="509"/>
      <c r="B171" s="509"/>
      <c r="C171" s="509"/>
      <c r="D171" s="292" t="s">
        <v>589</v>
      </c>
      <c r="E171" s="597"/>
      <c r="F171" s="597"/>
      <c r="G171" s="597"/>
      <c r="H171" s="597"/>
      <c r="I171" s="597"/>
      <c r="J171" s="597"/>
    </row>
    <row r="172" spans="1:13" s="309" customFormat="1" ht="409.6" thickTop="1" thickBot="1" x14ac:dyDescent="0.25">
      <c r="A172" s="311" t="s">
        <v>755</v>
      </c>
      <c r="B172" s="311" t="s">
        <v>753</v>
      </c>
      <c r="C172" s="311" t="s">
        <v>304</v>
      </c>
      <c r="D172" s="315" t="s">
        <v>754</v>
      </c>
      <c r="E172" s="312" t="s">
        <v>771</v>
      </c>
      <c r="F172" s="312" t="s">
        <v>744</v>
      </c>
      <c r="G172" s="261">
        <f>H172+I172</f>
        <v>100000</v>
      </c>
      <c r="H172" s="261">
        <f>'d3'!E120</f>
        <v>100000</v>
      </c>
      <c r="I172" s="261">
        <f>'d3'!J120</f>
        <v>0</v>
      </c>
      <c r="J172" s="261">
        <f>'d3'!K120</f>
        <v>0</v>
      </c>
    </row>
    <row r="173" spans="1:13" ht="409.6" thickTop="1" thickBot="1" x14ac:dyDescent="0.25">
      <c r="A173" s="311" t="s">
        <v>302</v>
      </c>
      <c r="B173" s="311" t="s">
        <v>303</v>
      </c>
      <c r="C173" s="311" t="s">
        <v>304</v>
      </c>
      <c r="D173" s="311" t="s">
        <v>301</v>
      </c>
      <c r="E173" s="307" t="s">
        <v>591</v>
      </c>
      <c r="F173" s="307" t="s">
        <v>520</v>
      </c>
      <c r="G173" s="261">
        <f>H173+I173</f>
        <v>1491054</v>
      </c>
      <c r="H173" s="261">
        <f>'d3'!E121</f>
        <v>1443054</v>
      </c>
      <c r="I173" s="308">
        <f>'d3'!J121</f>
        <v>48000</v>
      </c>
      <c r="J173" s="310">
        <f>'d3'!K121</f>
        <v>48000</v>
      </c>
    </row>
    <row r="174" spans="1:13" ht="316.5" thickTop="1" thickBot="1" x14ac:dyDescent="0.25">
      <c r="A174" s="413" t="s">
        <v>30</v>
      </c>
      <c r="B174" s="413"/>
      <c r="C174" s="413"/>
      <c r="D174" s="414" t="s">
        <v>462</v>
      </c>
      <c r="E174" s="415"/>
      <c r="F174" s="416"/>
      <c r="G174" s="416">
        <f>G175</f>
        <v>69927972</v>
      </c>
      <c r="H174" s="416">
        <f>H175</f>
        <v>157800</v>
      </c>
      <c r="I174" s="415">
        <f>I175</f>
        <v>69770172</v>
      </c>
      <c r="J174" s="415">
        <f>J175</f>
        <v>69770172</v>
      </c>
    </row>
    <row r="175" spans="1:13" ht="271.5" thickTop="1" thickBot="1" x14ac:dyDescent="0.25">
      <c r="A175" s="417" t="s">
        <v>31</v>
      </c>
      <c r="B175" s="417"/>
      <c r="C175" s="417"/>
      <c r="D175" s="418" t="s">
        <v>461</v>
      </c>
      <c r="E175" s="419"/>
      <c r="F175" s="420"/>
      <c r="G175" s="420">
        <f>G178+G180+G181+G176+G177+G182+G179</f>
        <v>69927972</v>
      </c>
      <c r="H175" s="420">
        <f>H178+H180+H181+H176+H177+H182+H179</f>
        <v>157800</v>
      </c>
      <c r="I175" s="420">
        <f>I178+I180+I181+I176+I177+I182+I179</f>
        <v>69770172</v>
      </c>
      <c r="J175" s="420">
        <f>J178+J180+J181+J176+J177+J182+J179</f>
        <v>69770172</v>
      </c>
      <c r="K175" s="154" t="b">
        <f>H175='d3'!E123-'d3'!E124</f>
        <v>1</v>
      </c>
      <c r="L175" s="136" t="b">
        <f>I175='d3'!J123</f>
        <v>1</v>
      </c>
      <c r="M175" s="137" t="b">
        <f>J175='d3'!K123</f>
        <v>1</v>
      </c>
    </row>
    <row r="176" spans="1:13" ht="138.75" thickTop="1" thickBot="1" x14ac:dyDescent="0.25">
      <c r="A176" s="311" t="s">
        <v>553</v>
      </c>
      <c r="B176" s="311" t="s">
        <v>55</v>
      </c>
      <c r="C176" s="311" t="s">
        <v>54</v>
      </c>
      <c r="D176" s="311" t="s">
        <v>300</v>
      </c>
      <c r="E176" s="260" t="s">
        <v>734</v>
      </c>
      <c r="F176" s="310" t="s">
        <v>735</v>
      </c>
      <c r="G176" s="310">
        <f>H176+I176</f>
        <v>157800</v>
      </c>
      <c r="H176" s="310">
        <f>'d3'!E125</f>
        <v>157800</v>
      </c>
      <c r="I176" s="310">
        <f>'d3'!J125</f>
        <v>0</v>
      </c>
      <c r="J176" s="310">
        <f>'d3'!K125</f>
        <v>0</v>
      </c>
    </row>
    <row r="177" spans="1:14" ht="321.75" thickTop="1" thickBot="1" x14ac:dyDescent="0.25">
      <c r="A177" s="311" t="s">
        <v>556</v>
      </c>
      <c r="B177" s="311" t="s">
        <v>558</v>
      </c>
      <c r="C177" s="311" t="s">
        <v>243</v>
      </c>
      <c r="D177" s="311" t="s">
        <v>557</v>
      </c>
      <c r="E177" s="260" t="s">
        <v>734</v>
      </c>
      <c r="F177" s="310" t="s">
        <v>735</v>
      </c>
      <c r="G177" s="310">
        <f>H177+I177</f>
        <v>15000000</v>
      </c>
      <c r="H177" s="310">
        <f>'d3'!E126</f>
        <v>0</v>
      </c>
      <c r="I177" s="310">
        <f>'d3'!J126</f>
        <v>15000000</v>
      </c>
      <c r="J177" s="310">
        <f>'d3'!K126</f>
        <v>15000000</v>
      </c>
    </row>
    <row r="178" spans="1:14" ht="138.75" thickTop="1" thickBot="1" x14ac:dyDescent="0.25">
      <c r="A178" s="311" t="s">
        <v>373</v>
      </c>
      <c r="B178" s="311" t="s">
        <v>374</v>
      </c>
      <c r="C178" s="311" t="s">
        <v>361</v>
      </c>
      <c r="D178" s="311" t="s">
        <v>650</v>
      </c>
      <c r="E178" s="260" t="s">
        <v>734</v>
      </c>
      <c r="F178" s="310" t="s">
        <v>735</v>
      </c>
      <c r="G178" s="310">
        <f>I178</f>
        <v>17400000</v>
      </c>
      <c r="H178" s="310">
        <f>'d3'!E127</f>
        <v>0</v>
      </c>
      <c r="I178" s="310">
        <f>'d3'!J127</f>
        <v>17400000</v>
      </c>
      <c r="J178" s="310">
        <f>I178</f>
        <v>17400000</v>
      </c>
    </row>
    <row r="179" spans="1:14" s="309" customFormat="1" ht="138.75" thickTop="1" thickBot="1" x14ac:dyDescent="0.25">
      <c r="A179" s="311" t="s">
        <v>751</v>
      </c>
      <c r="B179" s="311" t="s">
        <v>752</v>
      </c>
      <c r="C179" s="311" t="s">
        <v>361</v>
      </c>
      <c r="D179" s="311" t="s">
        <v>750</v>
      </c>
      <c r="E179" s="260" t="s">
        <v>734</v>
      </c>
      <c r="F179" s="310" t="s">
        <v>735</v>
      </c>
      <c r="G179" s="310">
        <f>I179</f>
        <v>152378</v>
      </c>
      <c r="H179" s="310">
        <f>'d3'!E128</f>
        <v>0</v>
      </c>
      <c r="I179" s="310">
        <f>'d3'!J128</f>
        <v>152378</v>
      </c>
      <c r="J179" s="310">
        <f>I179</f>
        <v>152378</v>
      </c>
    </row>
    <row r="180" spans="1:14" ht="145.5" thickTop="1" thickBot="1" x14ac:dyDescent="0.25">
      <c r="A180" s="311" t="s">
        <v>375</v>
      </c>
      <c r="B180" s="311" t="s">
        <v>376</v>
      </c>
      <c r="C180" s="311" t="s">
        <v>361</v>
      </c>
      <c r="D180" s="311" t="s">
        <v>649</v>
      </c>
      <c r="E180" s="260" t="s">
        <v>734</v>
      </c>
      <c r="F180" s="310" t="s">
        <v>735</v>
      </c>
      <c r="G180" s="310">
        <f t="shared" ref="G180:G181" si="29">I180</f>
        <v>600000</v>
      </c>
      <c r="H180" s="310">
        <f>'d3'!E129</f>
        <v>0</v>
      </c>
      <c r="I180" s="310">
        <f>'d3'!J129</f>
        <v>600000</v>
      </c>
      <c r="J180" s="310">
        <f>I180</f>
        <v>600000</v>
      </c>
    </row>
    <row r="181" spans="1:14" ht="138.75" thickTop="1" thickBot="1" x14ac:dyDescent="0.25">
      <c r="A181" s="311" t="s">
        <v>378</v>
      </c>
      <c r="B181" s="311" t="s">
        <v>379</v>
      </c>
      <c r="C181" s="311" t="s">
        <v>361</v>
      </c>
      <c r="D181" s="311" t="s">
        <v>648</v>
      </c>
      <c r="E181" s="260" t="s">
        <v>734</v>
      </c>
      <c r="F181" s="310" t="s">
        <v>735</v>
      </c>
      <c r="G181" s="310">
        <f t="shared" si="29"/>
        <v>16747622</v>
      </c>
      <c r="H181" s="310">
        <f>'d3'!E130</f>
        <v>0</v>
      </c>
      <c r="I181" s="310">
        <f>'d3'!J130</f>
        <v>16747622</v>
      </c>
      <c r="J181" s="310">
        <f>I181</f>
        <v>16747622</v>
      </c>
    </row>
    <row r="182" spans="1:14" ht="138.75" thickTop="1" thickBot="1" x14ac:dyDescent="0.25">
      <c r="A182" s="311" t="s">
        <v>575</v>
      </c>
      <c r="B182" s="311" t="s">
        <v>429</v>
      </c>
      <c r="C182" s="311" t="s">
        <v>212</v>
      </c>
      <c r="D182" s="311" t="s">
        <v>315</v>
      </c>
      <c r="E182" s="260" t="s">
        <v>734</v>
      </c>
      <c r="F182" s="310" t="s">
        <v>735</v>
      </c>
      <c r="G182" s="310">
        <f>H182+I182</f>
        <v>19870172</v>
      </c>
      <c r="H182" s="310">
        <f>'d3'!E131</f>
        <v>0</v>
      </c>
      <c r="I182" s="310">
        <f>'d3'!J131</f>
        <v>19870172</v>
      </c>
      <c r="J182" s="310">
        <f>'d3'!K131</f>
        <v>19870172</v>
      </c>
    </row>
    <row r="183" spans="1:14" s="309" customFormat="1" ht="271.5" thickTop="1" thickBot="1" x14ac:dyDescent="0.25">
      <c r="A183" s="413" t="s">
        <v>202</v>
      </c>
      <c r="B183" s="413"/>
      <c r="C183" s="413"/>
      <c r="D183" s="414" t="s">
        <v>32</v>
      </c>
      <c r="E183" s="415"/>
      <c r="F183" s="416"/>
      <c r="G183" s="416">
        <f>G184</f>
        <v>441220</v>
      </c>
      <c r="H183" s="416">
        <f t="shared" ref="H183:J183" si="30">H184</f>
        <v>0</v>
      </c>
      <c r="I183" s="415">
        <f t="shared" si="30"/>
        <v>441220</v>
      </c>
      <c r="J183" s="415">
        <f t="shared" si="30"/>
        <v>441220</v>
      </c>
    </row>
    <row r="184" spans="1:14" s="309" customFormat="1" ht="271.5" thickTop="1" thickBot="1" x14ac:dyDescent="0.25">
      <c r="A184" s="417" t="s">
        <v>203</v>
      </c>
      <c r="B184" s="417"/>
      <c r="C184" s="417"/>
      <c r="D184" s="418" t="s">
        <v>50</v>
      </c>
      <c r="E184" s="419"/>
      <c r="F184" s="420"/>
      <c r="G184" s="420">
        <f>SUM(G185)</f>
        <v>441220</v>
      </c>
      <c r="H184" s="420">
        <f t="shared" ref="H184:J184" si="31">SUM(H185)</f>
        <v>0</v>
      </c>
      <c r="I184" s="420">
        <f t="shared" si="31"/>
        <v>441220</v>
      </c>
      <c r="J184" s="420">
        <f t="shared" si="31"/>
        <v>441220</v>
      </c>
    </row>
    <row r="185" spans="1:14" s="309" customFormat="1" ht="138.75" thickTop="1" thickBot="1" x14ac:dyDescent="0.25">
      <c r="A185" s="311" t="s">
        <v>757</v>
      </c>
      <c r="B185" s="311" t="s">
        <v>758</v>
      </c>
      <c r="C185" s="311" t="s">
        <v>361</v>
      </c>
      <c r="D185" s="311" t="s">
        <v>759</v>
      </c>
      <c r="E185" s="260" t="s">
        <v>734</v>
      </c>
      <c r="F185" s="310" t="s">
        <v>735</v>
      </c>
      <c r="G185" s="310">
        <f>H185+I185</f>
        <v>441220</v>
      </c>
      <c r="H185" s="310">
        <f>'d3'!E135</f>
        <v>0</v>
      </c>
      <c r="I185" s="310">
        <f>'d3'!J135</f>
        <v>441220</v>
      </c>
      <c r="J185" s="310">
        <f>'d3'!K135</f>
        <v>441220</v>
      </c>
    </row>
    <row r="186" spans="1:14" s="197" customFormat="1" ht="180.75" customHeight="1" thickTop="1" thickBot="1" x14ac:dyDescent="0.25">
      <c r="A186" s="413" t="s">
        <v>594</v>
      </c>
      <c r="B186" s="413"/>
      <c r="C186" s="413"/>
      <c r="D186" s="414" t="s">
        <v>596</v>
      </c>
      <c r="E186" s="415"/>
      <c r="F186" s="416"/>
      <c r="G186" s="416">
        <f>G187</f>
        <v>51584442</v>
      </c>
      <c r="H186" s="416">
        <f t="shared" ref="H186:J186" si="32">H187</f>
        <v>51535442</v>
      </c>
      <c r="I186" s="415">
        <f t="shared" si="32"/>
        <v>49000</v>
      </c>
      <c r="J186" s="415">
        <f t="shared" si="32"/>
        <v>49000</v>
      </c>
    </row>
    <row r="187" spans="1:14" s="197" customFormat="1" ht="180.75" customHeight="1" thickTop="1" thickBot="1" x14ac:dyDescent="0.25">
      <c r="A187" s="417" t="s">
        <v>595</v>
      </c>
      <c r="B187" s="417"/>
      <c r="C187" s="417"/>
      <c r="D187" s="418" t="s">
        <v>597</v>
      </c>
      <c r="E187" s="419"/>
      <c r="F187" s="420"/>
      <c r="G187" s="420">
        <f>SUM(G188:G190)</f>
        <v>51584442</v>
      </c>
      <c r="H187" s="420">
        <f>SUM(H188:H190)</f>
        <v>51535442</v>
      </c>
      <c r="I187" s="420">
        <f>SUM(I188:I190)</f>
        <v>49000</v>
      </c>
      <c r="J187" s="420">
        <f>SUM(J188:J190)</f>
        <v>49000</v>
      </c>
      <c r="K187" s="154" t="b">
        <f>H187='d3'!E137-'d3'!E138+H188</f>
        <v>1</v>
      </c>
      <c r="L187" s="136" t="b">
        <f>I187='d3'!J136</f>
        <v>1</v>
      </c>
      <c r="M187" s="137" t="b">
        <f>J187='d3'!K136</f>
        <v>1</v>
      </c>
      <c r="N187" s="201"/>
    </row>
    <row r="188" spans="1:14" s="197" customFormat="1" ht="230.25" thickTop="1" thickBot="1" x14ac:dyDescent="0.25">
      <c r="A188" s="289" t="s">
        <v>598</v>
      </c>
      <c r="B188" s="289" t="s">
        <v>288</v>
      </c>
      <c r="C188" s="289" t="s">
        <v>286</v>
      </c>
      <c r="D188" s="289" t="s">
        <v>287</v>
      </c>
      <c r="E188" s="260" t="s">
        <v>528</v>
      </c>
      <c r="F188" s="291" t="s">
        <v>527</v>
      </c>
      <c r="G188" s="291">
        <f>H188+I188</f>
        <v>49000</v>
      </c>
      <c r="H188" s="261"/>
      <c r="I188" s="291">
        <v>49000</v>
      </c>
      <c r="J188" s="291">
        <v>49000</v>
      </c>
    </row>
    <row r="189" spans="1:14" s="201" customFormat="1" ht="230.25" hidden="1" thickTop="1" thickBot="1" x14ac:dyDescent="0.25">
      <c r="A189" s="324" t="s">
        <v>637</v>
      </c>
      <c r="B189" s="324" t="s">
        <v>513</v>
      </c>
      <c r="C189" s="324" t="s">
        <v>514</v>
      </c>
      <c r="D189" s="324" t="s">
        <v>515</v>
      </c>
      <c r="E189" s="260" t="s">
        <v>639</v>
      </c>
      <c r="F189" s="323" t="s">
        <v>702</v>
      </c>
      <c r="G189" s="323">
        <f>H189+I189</f>
        <v>0</v>
      </c>
      <c r="H189" s="325">
        <f>'d3'!E139</f>
        <v>0</v>
      </c>
      <c r="I189" s="323">
        <f>'d3'!J139</f>
        <v>0</v>
      </c>
      <c r="J189" s="323">
        <f>'d3'!K139</f>
        <v>0</v>
      </c>
    </row>
    <row r="190" spans="1:14" s="201" customFormat="1" ht="230.25" thickTop="1" thickBot="1" x14ac:dyDescent="0.25">
      <c r="A190" s="311" t="s">
        <v>638</v>
      </c>
      <c r="B190" s="311" t="s">
        <v>345</v>
      </c>
      <c r="C190" s="311" t="s">
        <v>347</v>
      </c>
      <c r="D190" s="311" t="s">
        <v>346</v>
      </c>
      <c r="E190" s="260" t="s">
        <v>639</v>
      </c>
      <c r="F190" s="310" t="s">
        <v>702</v>
      </c>
      <c r="G190" s="310">
        <f>H190+I190</f>
        <v>51535442</v>
      </c>
      <c r="H190" s="261">
        <f>'d3'!E140</f>
        <v>51535442</v>
      </c>
      <c r="I190" s="310">
        <f>'d3'!J140</f>
        <v>0</v>
      </c>
      <c r="J190" s="310">
        <f>'d3'!K140</f>
        <v>0</v>
      </c>
    </row>
    <row r="191" spans="1:14" ht="136.5" thickTop="1" thickBot="1" x14ac:dyDescent="0.25">
      <c r="A191" s="413" t="s">
        <v>208</v>
      </c>
      <c r="B191" s="413"/>
      <c r="C191" s="413"/>
      <c r="D191" s="414" t="s">
        <v>433</v>
      </c>
      <c r="E191" s="415"/>
      <c r="F191" s="416"/>
      <c r="G191" s="416">
        <f>G192</f>
        <v>8574765</v>
      </c>
      <c r="H191" s="416">
        <f t="shared" ref="H191:J191" si="33">H192</f>
        <v>8154765</v>
      </c>
      <c r="I191" s="415">
        <f t="shared" si="33"/>
        <v>420000</v>
      </c>
      <c r="J191" s="415">
        <f t="shared" si="33"/>
        <v>420000</v>
      </c>
      <c r="K191" s="154" t="b">
        <f>H191='d3'!E142</f>
        <v>1</v>
      </c>
      <c r="L191" s="136" t="b">
        <f>I191='d3'!J142</f>
        <v>1</v>
      </c>
      <c r="M191" s="137" t="b">
        <f>J191='d3'!K142</f>
        <v>1</v>
      </c>
    </row>
    <row r="192" spans="1:14" ht="136.5" thickTop="1" thickBot="1" x14ac:dyDescent="0.25">
      <c r="A192" s="417" t="s">
        <v>209</v>
      </c>
      <c r="B192" s="417"/>
      <c r="C192" s="417"/>
      <c r="D192" s="418" t="s">
        <v>434</v>
      </c>
      <c r="E192" s="419"/>
      <c r="F192" s="420"/>
      <c r="G192" s="420">
        <f>SUM(G193:G198)</f>
        <v>8574765</v>
      </c>
      <c r="H192" s="420">
        <f>SUM(H193:H198)</f>
        <v>8154765</v>
      </c>
      <c r="I192" s="420">
        <f>SUM(I193:I198)</f>
        <v>420000</v>
      </c>
      <c r="J192" s="420">
        <f>SUM(J193:J198)</f>
        <v>420000</v>
      </c>
    </row>
    <row r="193" spans="1:13" ht="230.25" hidden="1" thickTop="1" thickBot="1" x14ac:dyDescent="0.25">
      <c r="A193" s="311" t="s">
        <v>428</v>
      </c>
      <c r="B193" s="311" t="s">
        <v>429</v>
      </c>
      <c r="C193" s="311" t="s">
        <v>212</v>
      </c>
      <c r="D193" s="311" t="s">
        <v>315</v>
      </c>
      <c r="E193" s="260" t="s">
        <v>602</v>
      </c>
      <c r="F193" s="307" t="s">
        <v>603</v>
      </c>
      <c r="G193" s="261">
        <f t="shared" ref="G193:G196" si="34">H193+I193</f>
        <v>0</v>
      </c>
      <c r="H193" s="310">
        <v>0</v>
      </c>
      <c r="I193" s="310">
        <f>(3000000)-3000000</f>
        <v>0</v>
      </c>
      <c r="J193" s="310">
        <f>(3000000)-3000000</f>
        <v>0</v>
      </c>
      <c r="K193" s="154" t="b">
        <f>H193='d3'!E143</f>
        <v>1</v>
      </c>
      <c r="L193" s="136" t="b">
        <f>I193='d3'!J143</f>
        <v>1</v>
      </c>
      <c r="M193" s="137" t="b">
        <f>J193='d3'!K143</f>
        <v>1</v>
      </c>
    </row>
    <row r="194" spans="1:13" ht="184.5" thickTop="1" thickBot="1" x14ac:dyDescent="0.25">
      <c r="A194" s="311" t="s">
        <v>313</v>
      </c>
      <c r="B194" s="311" t="s">
        <v>314</v>
      </c>
      <c r="C194" s="311" t="s">
        <v>312</v>
      </c>
      <c r="D194" s="311" t="s">
        <v>311</v>
      </c>
      <c r="E194" s="260" t="s">
        <v>600</v>
      </c>
      <c r="F194" s="307" t="s">
        <v>545</v>
      </c>
      <c r="G194" s="261">
        <f>H194+I194</f>
        <v>4619000</v>
      </c>
      <c r="H194" s="310">
        <f>(4119000)+500000</f>
        <v>4619000</v>
      </c>
      <c r="I194" s="310"/>
      <c r="J194" s="310"/>
      <c r="K194" s="154" t="b">
        <f>H194+H195='d3'!E144</f>
        <v>1</v>
      </c>
      <c r="L194" s="136" t="b">
        <f>I194+I195='d3'!J144</f>
        <v>1</v>
      </c>
      <c r="M194" s="137" t="b">
        <f>J194+J195='d3'!K144</f>
        <v>1</v>
      </c>
    </row>
    <row r="195" spans="1:13" ht="184.5" thickTop="1" thickBot="1" x14ac:dyDescent="0.25">
      <c r="A195" s="311" t="s">
        <v>313</v>
      </c>
      <c r="B195" s="311" t="s">
        <v>314</v>
      </c>
      <c r="C195" s="311" t="s">
        <v>312</v>
      </c>
      <c r="D195" s="311" t="s">
        <v>311</v>
      </c>
      <c r="E195" s="260" t="s">
        <v>601</v>
      </c>
      <c r="F195" s="307" t="s">
        <v>532</v>
      </c>
      <c r="G195" s="261">
        <f t="shared" si="34"/>
        <v>200000</v>
      </c>
      <c r="H195" s="310">
        <v>200000</v>
      </c>
      <c r="I195" s="310"/>
      <c r="J195" s="310"/>
    </row>
    <row r="196" spans="1:13" ht="184.5" thickTop="1" thickBot="1" x14ac:dyDescent="0.25">
      <c r="A196" s="311" t="s">
        <v>305</v>
      </c>
      <c r="B196" s="311" t="s">
        <v>307</v>
      </c>
      <c r="C196" s="311" t="s">
        <v>265</v>
      </c>
      <c r="D196" s="311" t="s">
        <v>306</v>
      </c>
      <c r="E196" s="310" t="s">
        <v>533</v>
      </c>
      <c r="F196" s="307" t="s">
        <v>534</v>
      </c>
      <c r="G196" s="261">
        <f t="shared" si="34"/>
        <v>320000</v>
      </c>
      <c r="H196" s="310">
        <f>420000-100000</f>
        <v>320000</v>
      </c>
      <c r="I196" s="310">
        <v>0</v>
      </c>
      <c r="J196" s="310">
        <v>0</v>
      </c>
      <c r="K196" s="154" t="b">
        <f>H196='d3'!E145</f>
        <v>1</v>
      </c>
      <c r="L196" s="136" t="b">
        <f>I196='d3'!J145</f>
        <v>1</v>
      </c>
      <c r="M196" s="137" t="b">
        <f>J196='d3'!K145</f>
        <v>1</v>
      </c>
    </row>
    <row r="197" spans="1:13" ht="276" thickTop="1" thickBot="1" x14ac:dyDescent="0.25">
      <c r="A197" s="311" t="s">
        <v>309</v>
      </c>
      <c r="B197" s="311" t="s">
        <v>310</v>
      </c>
      <c r="C197" s="311" t="s">
        <v>212</v>
      </c>
      <c r="D197" s="311" t="s">
        <v>308</v>
      </c>
      <c r="E197" s="310" t="s">
        <v>599</v>
      </c>
      <c r="F197" s="307" t="s">
        <v>546</v>
      </c>
      <c r="G197" s="261">
        <f t="shared" ref="G197:G198" si="35">H197+I197</f>
        <v>2435765</v>
      </c>
      <c r="H197" s="310">
        <f>(2485765)-50000</f>
        <v>2435765</v>
      </c>
      <c r="I197" s="310"/>
      <c r="J197" s="310"/>
      <c r="K197" s="154" t="b">
        <f>'d3'!E146=H197+H198</f>
        <v>1</v>
      </c>
      <c r="L197" s="136" t="b">
        <f>'d3'!J146=I197+I198</f>
        <v>1</v>
      </c>
      <c r="M197" s="155" t="b">
        <f>'d3'!K146=J197+J198</f>
        <v>1</v>
      </c>
    </row>
    <row r="198" spans="1:13" ht="184.5" thickTop="1" thickBot="1" x14ac:dyDescent="0.25">
      <c r="A198" s="311" t="s">
        <v>309</v>
      </c>
      <c r="B198" s="311" t="s">
        <v>310</v>
      </c>
      <c r="C198" s="311" t="s">
        <v>212</v>
      </c>
      <c r="D198" s="311" t="s">
        <v>308</v>
      </c>
      <c r="E198" s="310" t="s">
        <v>569</v>
      </c>
      <c r="F198" s="307" t="s">
        <v>568</v>
      </c>
      <c r="G198" s="261">
        <f t="shared" si="35"/>
        <v>1000000</v>
      </c>
      <c r="H198" s="310">
        <f>(800000)-220000</f>
        <v>580000</v>
      </c>
      <c r="I198" s="310">
        <f>(200000)+220000</f>
        <v>420000</v>
      </c>
      <c r="J198" s="310">
        <f>(200000)+220000</f>
        <v>420000</v>
      </c>
      <c r="K198" s="154"/>
      <c r="L198" s="136"/>
      <c r="M198" s="137"/>
    </row>
    <row r="199" spans="1:13" ht="226.5" thickTop="1" thickBot="1" x14ac:dyDescent="0.25">
      <c r="A199" s="413" t="s">
        <v>206</v>
      </c>
      <c r="B199" s="413"/>
      <c r="C199" s="413"/>
      <c r="D199" s="414" t="s">
        <v>562</v>
      </c>
      <c r="E199" s="415"/>
      <c r="F199" s="416"/>
      <c r="G199" s="416">
        <f>G200</f>
        <v>965963.28</v>
      </c>
      <c r="H199" s="416">
        <f t="shared" ref="H199:J199" si="36">H200</f>
        <v>0</v>
      </c>
      <c r="I199" s="415">
        <f t="shared" si="36"/>
        <v>965963.28</v>
      </c>
      <c r="J199" s="415">
        <f t="shared" si="36"/>
        <v>0</v>
      </c>
      <c r="K199" s="154" t="b">
        <f>H199='d3'!E148-'d3'!E149</f>
        <v>1</v>
      </c>
      <c r="L199" s="136" t="b">
        <f>I199='d3'!J148</f>
        <v>1</v>
      </c>
      <c r="M199" s="137" t="b">
        <f>J199='d3'!K148</f>
        <v>1</v>
      </c>
    </row>
    <row r="200" spans="1:13" ht="226.5" thickTop="1" thickBot="1" x14ac:dyDescent="0.25">
      <c r="A200" s="417" t="s">
        <v>207</v>
      </c>
      <c r="B200" s="417"/>
      <c r="C200" s="417"/>
      <c r="D200" s="418" t="s">
        <v>563</v>
      </c>
      <c r="E200" s="419"/>
      <c r="F200" s="420"/>
      <c r="G200" s="420">
        <f>SUM(G201:G204)</f>
        <v>965963.28</v>
      </c>
      <c r="H200" s="420">
        <f>SUM(H201:H204)</f>
        <v>0</v>
      </c>
      <c r="I200" s="420">
        <f>SUM(I201:I204)</f>
        <v>965963.28</v>
      </c>
      <c r="J200" s="420">
        <f>SUM(J201:J204)</f>
        <v>0</v>
      </c>
    </row>
    <row r="201" spans="1:13" ht="138.75" thickTop="1" thickBot="1" x14ac:dyDescent="0.25">
      <c r="A201" s="311" t="s">
        <v>368</v>
      </c>
      <c r="B201" s="311" t="s">
        <v>369</v>
      </c>
      <c r="C201" s="311" t="s">
        <v>64</v>
      </c>
      <c r="D201" s="311" t="s">
        <v>65</v>
      </c>
      <c r="E201" s="260" t="s">
        <v>537</v>
      </c>
      <c r="F201" s="307" t="s">
        <v>667</v>
      </c>
      <c r="G201" s="261">
        <f t="shared" ref="G201:G204" si="37">H201+I201</f>
        <v>738106</v>
      </c>
      <c r="H201" s="310">
        <f>'d3'!E150</f>
        <v>0</v>
      </c>
      <c r="I201" s="310">
        <f>'d3'!J150</f>
        <v>738106</v>
      </c>
      <c r="J201" s="310">
        <f>'d3'!K150</f>
        <v>0</v>
      </c>
    </row>
    <row r="202" spans="1:13" s="201" customFormat="1" ht="138.75" thickTop="1" thickBot="1" x14ac:dyDescent="0.25">
      <c r="A202" s="311" t="s">
        <v>653</v>
      </c>
      <c r="B202" s="311" t="s">
        <v>654</v>
      </c>
      <c r="C202" s="311" t="s">
        <v>647</v>
      </c>
      <c r="D202" s="311" t="s">
        <v>655</v>
      </c>
      <c r="E202" s="260" t="s">
        <v>537</v>
      </c>
      <c r="F202" s="307" t="s">
        <v>667</v>
      </c>
      <c r="G202" s="261">
        <f t="shared" ref="G202:G203" si="38">H202+I202</f>
        <v>70000</v>
      </c>
      <c r="H202" s="310">
        <f>'d3'!E151</f>
        <v>0</v>
      </c>
      <c r="I202" s="310">
        <f>'d3'!J151</f>
        <v>70000</v>
      </c>
      <c r="J202" s="310">
        <f>'d3'!K151</f>
        <v>0</v>
      </c>
    </row>
    <row r="203" spans="1:13" s="309" customFormat="1" ht="138.75" thickTop="1" thickBot="1" x14ac:dyDescent="0.25">
      <c r="A203" s="311" t="s">
        <v>762</v>
      </c>
      <c r="B203" s="311" t="s">
        <v>760</v>
      </c>
      <c r="C203" s="311" t="s">
        <v>763</v>
      </c>
      <c r="D203" s="311" t="s">
        <v>761</v>
      </c>
      <c r="E203" s="260" t="s">
        <v>537</v>
      </c>
      <c r="F203" s="307" t="s">
        <v>667</v>
      </c>
      <c r="G203" s="261">
        <f t="shared" si="38"/>
        <v>63670</v>
      </c>
      <c r="H203" s="310">
        <f>'d3'!E152</f>
        <v>0</v>
      </c>
      <c r="I203" s="310">
        <f>'d3'!J152</f>
        <v>63670</v>
      </c>
      <c r="J203" s="310">
        <f>'d3'!K152</f>
        <v>0</v>
      </c>
    </row>
    <row r="204" spans="1:13" ht="138.75" thickTop="1" thickBot="1" x14ac:dyDescent="0.25">
      <c r="A204" s="311" t="s">
        <v>370</v>
      </c>
      <c r="B204" s="311" t="s">
        <v>371</v>
      </c>
      <c r="C204" s="311" t="s">
        <v>66</v>
      </c>
      <c r="D204" s="311" t="s">
        <v>656</v>
      </c>
      <c r="E204" s="260" t="s">
        <v>537</v>
      </c>
      <c r="F204" s="307" t="s">
        <v>667</v>
      </c>
      <c r="G204" s="261">
        <f t="shared" si="37"/>
        <v>94187.28</v>
      </c>
      <c r="H204" s="310">
        <f>'d3'!E153</f>
        <v>0</v>
      </c>
      <c r="I204" s="310">
        <f>'d3'!J153</f>
        <v>94187.28</v>
      </c>
      <c r="J204" s="310">
        <f>'d3'!K153</f>
        <v>0</v>
      </c>
    </row>
    <row r="205" spans="1:13" ht="361.5" thickTop="1" thickBot="1" x14ac:dyDescent="0.25">
      <c r="A205" s="413" t="s">
        <v>204</v>
      </c>
      <c r="B205" s="413"/>
      <c r="C205" s="413"/>
      <c r="D205" s="414" t="s">
        <v>564</v>
      </c>
      <c r="E205" s="415"/>
      <c r="F205" s="416"/>
      <c r="G205" s="416">
        <f>G206</f>
        <v>300000</v>
      </c>
      <c r="H205" s="416">
        <f t="shared" ref="H205:J205" si="39">H206</f>
        <v>0</v>
      </c>
      <c r="I205" s="415">
        <f t="shared" si="39"/>
        <v>300000</v>
      </c>
      <c r="J205" s="415">
        <f t="shared" si="39"/>
        <v>300000</v>
      </c>
      <c r="K205" s="154" t="b">
        <f>H205='d3'!E155-'d3'!E156</f>
        <v>1</v>
      </c>
      <c r="L205" s="136" t="b">
        <f>I205='d3'!J155</f>
        <v>1</v>
      </c>
      <c r="M205" s="137" t="b">
        <f>J205='d3'!K155</f>
        <v>1</v>
      </c>
    </row>
    <row r="206" spans="1:13" ht="361.5" thickTop="1" thickBot="1" x14ac:dyDescent="0.25">
      <c r="A206" s="417" t="s">
        <v>205</v>
      </c>
      <c r="B206" s="417"/>
      <c r="C206" s="417"/>
      <c r="D206" s="418" t="s">
        <v>565</v>
      </c>
      <c r="E206" s="419"/>
      <c r="F206" s="420"/>
      <c r="G206" s="420">
        <f>SUM(G207:G209)</f>
        <v>300000</v>
      </c>
      <c r="H206" s="420">
        <f>SUM(H207:H209)</f>
        <v>0</v>
      </c>
      <c r="I206" s="420">
        <f>SUM(I207:I209)</f>
        <v>300000</v>
      </c>
      <c r="J206" s="420">
        <f>SUM(J207:J209)</f>
        <v>300000</v>
      </c>
    </row>
    <row r="207" spans="1:13" s="283" customFormat="1" ht="321.75" hidden="1" thickTop="1" thickBot="1" x14ac:dyDescent="0.25">
      <c r="A207" s="289" t="s">
        <v>522</v>
      </c>
      <c r="B207" s="289" t="s">
        <v>288</v>
      </c>
      <c r="C207" s="289" t="s">
        <v>286</v>
      </c>
      <c r="D207" s="289" t="s">
        <v>283</v>
      </c>
      <c r="E207" s="260" t="s">
        <v>528</v>
      </c>
      <c r="F207" s="291" t="s">
        <v>527</v>
      </c>
      <c r="G207" s="261">
        <f t="shared" ref="G207:G209" si="40">H207+I207</f>
        <v>0</v>
      </c>
      <c r="H207" s="291"/>
      <c r="I207" s="291"/>
      <c r="J207" s="291"/>
    </row>
    <row r="208" spans="1:13" ht="138.75" thickTop="1" thickBot="1" x14ac:dyDescent="0.25">
      <c r="A208" s="311" t="s">
        <v>365</v>
      </c>
      <c r="B208" s="311" t="s">
        <v>366</v>
      </c>
      <c r="C208" s="311" t="s">
        <v>367</v>
      </c>
      <c r="D208" s="311" t="s">
        <v>624</v>
      </c>
      <c r="E208" s="260" t="s">
        <v>734</v>
      </c>
      <c r="F208" s="310" t="s">
        <v>735</v>
      </c>
      <c r="G208" s="261">
        <f t="shared" si="40"/>
        <v>250000</v>
      </c>
      <c r="H208" s="310">
        <f>'d3'!E157</f>
        <v>0</v>
      </c>
      <c r="I208" s="310">
        <f>'d3'!J157</f>
        <v>250000</v>
      </c>
      <c r="J208" s="310">
        <f>'d3'!K157</f>
        <v>250000</v>
      </c>
    </row>
    <row r="209" spans="1:17" ht="138.75" thickTop="1" thickBot="1" x14ac:dyDescent="0.25">
      <c r="A209" s="311" t="s">
        <v>451</v>
      </c>
      <c r="B209" s="311" t="s">
        <v>452</v>
      </c>
      <c r="C209" s="311" t="s">
        <v>212</v>
      </c>
      <c r="D209" s="311" t="s">
        <v>453</v>
      </c>
      <c r="E209" s="260" t="s">
        <v>734</v>
      </c>
      <c r="F209" s="310" t="s">
        <v>735</v>
      </c>
      <c r="G209" s="261">
        <f t="shared" si="40"/>
        <v>50000</v>
      </c>
      <c r="H209" s="310">
        <f>'d3'!E158</f>
        <v>0</v>
      </c>
      <c r="I209" s="310">
        <f>'d3'!J158</f>
        <v>50000</v>
      </c>
      <c r="J209" s="310">
        <f>'d3'!K158</f>
        <v>50000</v>
      </c>
    </row>
    <row r="210" spans="1:17" ht="81.75" customHeight="1" thickTop="1" thickBot="1" x14ac:dyDescent="1.2">
      <c r="A210" s="228" t="s">
        <v>473</v>
      </c>
      <c r="B210" s="228" t="s">
        <v>473</v>
      </c>
      <c r="C210" s="228" t="s">
        <v>473</v>
      </c>
      <c r="D210" s="229" t="s">
        <v>483</v>
      </c>
      <c r="E210" s="228" t="s">
        <v>473</v>
      </c>
      <c r="F210" s="228" t="s">
        <v>473</v>
      </c>
      <c r="G210" s="267">
        <f>G15+G34+G124+G52+G80+G108+G144+G175+G192+G200+G206+G187</f>
        <v>2417323362.9400005</v>
      </c>
      <c r="H210" s="267">
        <f>H15+H34+H124+H52+H80+H108+H144+H175+H192+H200+H206+H187</f>
        <v>1952066122.6500001</v>
      </c>
      <c r="I210" s="267">
        <f>I15+I34+I124+I52+I80+I108+I144+I175+I192+I200+I206+I187</f>
        <v>465257240.28999996</v>
      </c>
      <c r="J210" s="267">
        <f>J15+J34+J124+J52+J80+J108+J144+J175+J192+J200+J206+J187</f>
        <v>314354893.88999999</v>
      </c>
      <c r="K210" s="145" t="b">
        <f>G210=H210+I210</f>
        <v>1</v>
      </c>
    </row>
    <row r="211" spans="1:17" ht="31.7" customHeight="1" thickTop="1" x14ac:dyDescent="0.2">
      <c r="A211" s="599" t="s">
        <v>713</v>
      </c>
      <c r="B211" s="600"/>
      <c r="C211" s="600"/>
      <c r="D211" s="600"/>
      <c r="E211" s="600"/>
      <c r="F211" s="600"/>
      <c r="G211" s="600"/>
      <c r="H211" s="600"/>
      <c r="I211" s="600"/>
      <c r="J211" s="600"/>
    </row>
    <row r="212" spans="1:17" ht="31.7" customHeight="1" x14ac:dyDescent="0.2">
      <c r="A212" s="97"/>
      <c r="B212" s="98"/>
      <c r="C212" s="98"/>
      <c r="D212" s="98"/>
      <c r="E212" s="98"/>
      <c r="F212" s="98"/>
      <c r="G212" s="98"/>
      <c r="H212" s="98"/>
      <c r="I212" s="98"/>
      <c r="J212" s="98"/>
    </row>
    <row r="213" spans="1:17" s="468" customFormat="1" ht="31.7" customHeight="1" x14ac:dyDescent="0.2">
      <c r="A213" s="471"/>
      <c r="B213" s="472"/>
      <c r="C213" s="472"/>
      <c r="D213" s="472"/>
      <c r="E213" s="472"/>
      <c r="F213" s="472"/>
      <c r="G213" s="472"/>
      <c r="H213" s="472"/>
      <c r="I213" s="472"/>
      <c r="J213" s="472"/>
    </row>
    <row r="214" spans="1:17" ht="61.5" customHeight="1" x14ac:dyDescent="0.65">
      <c r="A214" s="6"/>
      <c r="B214" s="6"/>
      <c r="C214" s="6"/>
      <c r="D214" s="507" t="s">
        <v>925</v>
      </c>
      <c r="E214" s="507"/>
      <c r="F214" s="507"/>
      <c r="G214" s="507"/>
      <c r="H214" s="507"/>
      <c r="I214" s="507"/>
      <c r="J214" s="507"/>
      <c r="K214" s="507"/>
      <c r="L214" s="507"/>
      <c r="M214" s="507"/>
      <c r="N214" s="507"/>
      <c r="O214" s="507"/>
      <c r="P214" s="507"/>
      <c r="Q214" s="507"/>
    </row>
    <row r="215" spans="1:17" ht="45.75" x14ac:dyDescent="0.55000000000000004">
      <c r="D215" s="135"/>
      <c r="E215" s="14"/>
      <c r="F215" s="105"/>
      <c r="G215" s="135"/>
      <c r="H215" s="135"/>
      <c r="I215" s="105"/>
      <c r="J215" s="14"/>
      <c r="K215" s="10"/>
      <c r="L215" s="10"/>
      <c r="M215" s="10"/>
      <c r="N215" s="10"/>
      <c r="O215" s="10"/>
      <c r="P215" s="10"/>
      <c r="Q215" s="10"/>
    </row>
    <row r="216" spans="1:17" ht="45.75" x14ac:dyDescent="0.65">
      <c r="D216" s="507"/>
      <c r="E216" s="507"/>
      <c r="F216" s="507"/>
      <c r="G216" s="507"/>
      <c r="H216" s="507"/>
      <c r="I216" s="507"/>
      <c r="J216" s="507"/>
      <c r="K216" s="10"/>
      <c r="L216" s="10"/>
      <c r="M216" s="10"/>
      <c r="N216" s="10"/>
      <c r="O216" s="10"/>
      <c r="P216" s="10"/>
      <c r="Q216" s="10"/>
    </row>
    <row r="217" spans="1:17" x14ac:dyDescent="0.2">
      <c r="E217" s="4"/>
      <c r="F217" s="3"/>
    </row>
    <row r="218" spans="1:17" x14ac:dyDescent="0.2">
      <c r="E218" s="4"/>
      <c r="F218" s="3"/>
    </row>
    <row r="219" spans="1:17" ht="62.25" x14ac:dyDescent="0.8">
      <c r="A219"/>
      <c r="B219"/>
      <c r="C219"/>
      <c r="D219"/>
      <c r="E219" s="14"/>
      <c r="F219" s="105"/>
      <c r="I219"/>
      <c r="J219" s="116"/>
    </row>
    <row r="220" spans="1:17" ht="45.75" x14ac:dyDescent="0.2">
      <c r="E220" s="15"/>
      <c r="F220" s="135"/>
    </row>
    <row r="221" spans="1:17" ht="45.75" x14ac:dyDescent="0.2">
      <c r="A221"/>
      <c r="B221"/>
      <c r="C221"/>
      <c r="D221"/>
      <c r="E221" s="14"/>
      <c r="F221" s="105"/>
      <c r="I221"/>
      <c r="J221" s="207"/>
    </row>
    <row r="222" spans="1:17" ht="45.75" x14ac:dyDescent="0.2">
      <c r="E222" s="15"/>
      <c r="F222" s="135"/>
    </row>
    <row r="223" spans="1:17" ht="45.75" x14ac:dyDescent="0.2">
      <c r="E223" s="15"/>
      <c r="F223" s="135"/>
    </row>
    <row r="224" spans="1:17" ht="45.75" x14ac:dyDescent="0.2">
      <c r="E224" s="15"/>
      <c r="F224" s="135"/>
    </row>
    <row r="225" spans="1:10" ht="45.75" x14ac:dyDescent="0.2">
      <c r="A225"/>
      <c r="B225"/>
      <c r="C225"/>
      <c r="D225"/>
      <c r="E225" s="15"/>
      <c r="F225" s="135"/>
      <c r="G225"/>
      <c r="H225"/>
      <c r="I225"/>
      <c r="J225" s="207"/>
    </row>
    <row r="226" spans="1:10" ht="45.75" x14ac:dyDescent="0.2">
      <c r="A226"/>
      <c r="B226"/>
      <c r="C226"/>
      <c r="D226"/>
      <c r="E226" s="15"/>
      <c r="F226" s="135"/>
      <c r="G226"/>
      <c r="H226"/>
      <c r="I226"/>
      <c r="J226" s="207"/>
    </row>
    <row r="227" spans="1:10" ht="45.75" x14ac:dyDescent="0.2">
      <c r="A227"/>
      <c r="B227"/>
      <c r="C227"/>
      <c r="D227"/>
      <c r="E227" s="15"/>
      <c r="F227" s="135"/>
      <c r="G227"/>
      <c r="H227"/>
      <c r="I227"/>
      <c r="J227" s="207"/>
    </row>
    <row r="228" spans="1:10" ht="45.75" x14ac:dyDescent="0.2">
      <c r="A228"/>
      <c r="B228"/>
      <c r="C228"/>
      <c r="D228"/>
      <c r="E228" s="15"/>
      <c r="F228" s="135"/>
      <c r="G228"/>
      <c r="H228"/>
      <c r="I228"/>
      <c r="J228" s="207"/>
    </row>
  </sheetData>
  <mergeCells count="110">
    <mergeCell ref="J53:J54"/>
    <mergeCell ref="G58:G59"/>
    <mergeCell ref="H58:H59"/>
    <mergeCell ref="I58:I59"/>
    <mergeCell ref="J58:J59"/>
    <mergeCell ref="G56:G57"/>
    <mergeCell ref="H56:H57"/>
    <mergeCell ref="I56:I57"/>
    <mergeCell ref="J56:J57"/>
    <mergeCell ref="G170:G171"/>
    <mergeCell ref="H170:H171"/>
    <mergeCell ref="I170:I171"/>
    <mergeCell ref="J170:J171"/>
    <mergeCell ref="G147:G151"/>
    <mergeCell ref="G64:G65"/>
    <mergeCell ref="H64:H65"/>
    <mergeCell ref="I64:I65"/>
    <mergeCell ref="J64:J65"/>
    <mergeCell ref="G67:G68"/>
    <mergeCell ref="H67:H68"/>
    <mergeCell ref="I67:I68"/>
    <mergeCell ref="J67:J68"/>
    <mergeCell ref="I73:I74"/>
    <mergeCell ref="J73:J74"/>
    <mergeCell ref="J71:J72"/>
    <mergeCell ref="J69:J70"/>
    <mergeCell ref="H168:H169"/>
    <mergeCell ref="A170:A171"/>
    <mergeCell ref="B170:B171"/>
    <mergeCell ref="C170:C171"/>
    <mergeCell ref="E170:E171"/>
    <mergeCell ref="F170:F171"/>
    <mergeCell ref="A8:B8"/>
    <mergeCell ref="A9:B9"/>
    <mergeCell ref="C147:C151"/>
    <mergeCell ref="D147:D151"/>
    <mergeCell ref="A23:A24"/>
    <mergeCell ref="B23:B24"/>
    <mergeCell ref="C23:C24"/>
    <mergeCell ref="E23:E24"/>
    <mergeCell ref="F23:F24"/>
    <mergeCell ref="D168:D169"/>
    <mergeCell ref="G23:G24"/>
    <mergeCell ref="A105:A106"/>
    <mergeCell ref="B105:B106"/>
    <mergeCell ref="C105:C106"/>
    <mergeCell ref="E105:E106"/>
    <mergeCell ref="F105:F106"/>
    <mergeCell ref="I147:I151"/>
    <mergeCell ref="H23:H24"/>
    <mergeCell ref="I23:I24"/>
    <mergeCell ref="G71:G72"/>
    <mergeCell ref="H71:H72"/>
    <mergeCell ref="I71:I72"/>
    <mergeCell ref="G69:G70"/>
    <mergeCell ref="H69:H70"/>
    <mergeCell ref="I69:I70"/>
    <mergeCell ref="G61:G62"/>
    <mergeCell ref="H61:H62"/>
    <mergeCell ref="I61:I62"/>
    <mergeCell ref="H53:H54"/>
    <mergeCell ref="I53:I54"/>
    <mergeCell ref="J61:J62"/>
    <mergeCell ref="G53:G54"/>
    <mergeCell ref="D214:Q214"/>
    <mergeCell ref="D216:J216"/>
    <mergeCell ref="A211:J211"/>
    <mergeCell ref="A11:A12"/>
    <mergeCell ref="B11:B12"/>
    <mergeCell ref="C11:C12"/>
    <mergeCell ref="D11:D12"/>
    <mergeCell ref="F11:F12"/>
    <mergeCell ref="G11:G12"/>
    <mergeCell ref="E11:E12"/>
    <mergeCell ref="A158:A159"/>
    <mergeCell ref="B158:B159"/>
    <mergeCell ref="C158:C159"/>
    <mergeCell ref="D158:D159"/>
    <mergeCell ref="A147:A151"/>
    <mergeCell ref="B147:B151"/>
    <mergeCell ref="I168:I169"/>
    <mergeCell ref="J168:J169"/>
    <mergeCell ref="G168:G169"/>
    <mergeCell ref="A168:A169"/>
    <mergeCell ref="B168:B169"/>
    <mergeCell ref="C168:C169"/>
    <mergeCell ref="I1:J1"/>
    <mergeCell ref="I2:J2"/>
    <mergeCell ref="I3:J3"/>
    <mergeCell ref="A5:J5"/>
    <mergeCell ref="A6:J6"/>
    <mergeCell ref="H147:H151"/>
    <mergeCell ref="J158:J159"/>
    <mergeCell ref="H11:H12"/>
    <mergeCell ref="I11:J11"/>
    <mergeCell ref="G158:G159"/>
    <mergeCell ref="H158:H159"/>
    <mergeCell ref="I158:I159"/>
    <mergeCell ref="J147:J151"/>
    <mergeCell ref="J23:J24"/>
    <mergeCell ref="G105:G106"/>
    <mergeCell ref="H105:H106"/>
    <mergeCell ref="I105:I106"/>
    <mergeCell ref="J105:J106"/>
    <mergeCell ref="G75:G76"/>
    <mergeCell ref="H75:H76"/>
    <mergeCell ref="I75:I76"/>
    <mergeCell ref="J75:J76"/>
    <mergeCell ref="G73:G74"/>
    <mergeCell ref="H73:H74"/>
  </mergeCells>
  <pageMargins left="0.23622047244094491" right="0.27559055118110237" top="0.27559055118110237" bottom="0.15748031496062992" header="0.23622047244094491" footer="0.27559055118110237"/>
  <pageSetup paperSize="9" scale="19" fitToHeight="0" orientation="landscape" r:id="rId1"/>
  <headerFooter alignWithMargins="0">
    <oddFooter>&amp;C&amp;"Times New Roman Cyr,курсив"Сторінка &amp;P з &amp;N</oddFooter>
  </headerFooter>
  <rowBreaks count="6" manualBreakCount="6">
    <brk id="30" max="9" man="1"/>
    <brk id="43" max="9" man="1"/>
    <brk id="56" max="9" man="1"/>
    <brk id="129" max="9" man="1"/>
    <brk id="151" max="9" man="1"/>
    <brk id="162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11</vt:i4>
      </vt:variant>
    </vt:vector>
  </HeadingPairs>
  <TitlesOfParts>
    <vt:vector size="19" baseType="lpstr">
      <vt:lpstr>d1</vt:lpstr>
      <vt:lpstr>d2</vt:lpstr>
      <vt:lpstr>d3</vt:lpstr>
      <vt:lpstr>d4</vt:lpstr>
      <vt:lpstr>d5</vt:lpstr>
      <vt:lpstr>d6</vt:lpstr>
      <vt:lpstr>d7</vt:lpstr>
      <vt:lpstr>d8</vt:lpstr>
      <vt:lpstr>'d3'!Заголовки_для_друку</vt:lpstr>
      <vt:lpstr>'d5'!Заголовки_для_друку</vt:lpstr>
      <vt:lpstr>'d8'!Заголовки_для_друку</vt:lpstr>
      <vt:lpstr>'d1'!Область_друку</vt:lpstr>
      <vt:lpstr>'d2'!Область_друку</vt:lpstr>
      <vt:lpstr>'d3'!Область_друку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</vt:vector>
  </TitlesOfParts>
  <Company>Міське фінуправління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Полюк Роман Анатолійович</cp:lastModifiedBy>
  <cp:lastPrinted>2020-05-29T06:29:10Z</cp:lastPrinted>
  <dcterms:created xsi:type="dcterms:W3CDTF">2001-12-03T09:30:42Z</dcterms:created>
  <dcterms:modified xsi:type="dcterms:W3CDTF">2020-06-04T12:01:08Z</dcterms:modified>
</cp:coreProperties>
</file>